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"/>
    </mc:Choice>
  </mc:AlternateContent>
  <bookViews>
    <workbookView xWindow="0" yWindow="0" windowWidth="20520" windowHeight="9555"/>
  </bookViews>
  <sheets>
    <sheet name="Normativa e Dimension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J19" i="1" s="1"/>
  <c r="G19" i="1"/>
  <c r="G18" i="1"/>
  <c r="B31" i="1"/>
  <c r="AD23" i="1" l="1"/>
  <c r="E31" i="1" l="1"/>
  <c r="E46" i="1"/>
  <c r="E47" i="1"/>
  <c r="E48" i="1"/>
  <c r="E49" i="1"/>
  <c r="E50" i="1"/>
  <c r="E45" i="1"/>
  <c r="C46" i="1"/>
  <c r="C47" i="1"/>
  <c r="C48" i="1"/>
  <c r="C49" i="1"/>
  <c r="C50" i="1"/>
  <c r="C45" i="1"/>
  <c r="E43" i="1"/>
  <c r="E42" i="1"/>
  <c r="C43" i="1"/>
  <c r="C42" i="1"/>
  <c r="O34" i="1"/>
  <c r="N35" i="1" s="1"/>
  <c r="N36" i="1" s="1"/>
  <c r="N31" i="1"/>
  <c r="N30" i="1"/>
  <c r="O29" i="1"/>
  <c r="O33" i="1"/>
  <c r="O28" i="1"/>
  <c r="AD30" i="1"/>
  <c r="AD31" i="1"/>
  <c r="AD32" i="1"/>
  <c r="AD33" i="1"/>
  <c r="AD34" i="1"/>
  <c r="AD29" i="1"/>
  <c r="AD24" i="1"/>
  <c r="AD25" i="1"/>
  <c r="AD26" i="1"/>
  <c r="AD27" i="1"/>
  <c r="AD28" i="1"/>
  <c r="O23" i="1"/>
  <c r="Z18" i="1" l="1"/>
  <c r="AI4" i="1" s="1"/>
  <c r="Z15" i="1"/>
  <c r="Z17" i="1" s="1"/>
  <c r="Z12" i="1"/>
  <c r="AI5" i="1" s="1"/>
  <c r="Z9" i="1"/>
  <c r="Z11" i="1" s="1"/>
  <c r="AI6" i="1" l="1"/>
  <c r="E3" i="1" l="1"/>
  <c r="G13" i="1" l="1"/>
  <c r="E13" i="1"/>
  <c r="E14" i="1" s="1"/>
  <c r="E15" i="1" s="1"/>
  <c r="AM9" i="1" l="1"/>
  <c r="AM11" i="1" s="1"/>
  <c r="AM8" i="1"/>
  <c r="AM10" i="1" s="1"/>
  <c r="X29" i="1"/>
  <c r="X28" i="1"/>
  <c r="X27" i="1"/>
  <c r="C10" i="1"/>
  <c r="C12" i="1"/>
  <c r="C11" i="1"/>
  <c r="C9" i="1"/>
  <c r="AM12" i="1"/>
  <c r="AM14" i="1" s="1"/>
  <c r="AM13" i="1"/>
  <c r="AM15" i="1" s="1"/>
  <c r="AM16" i="1"/>
  <c r="AM17" i="1"/>
  <c r="X26" i="1" s="1"/>
  <c r="AA26" i="1" s="1"/>
  <c r="AM7" i="1"/>
  <c r="AK6" i="1"/>
  <c r="AA28" i="1" l="1"/>
  <c r="AA27" i="1"/>
  <c r="AA29" i="1"/>
  <c r="G3" i="1"/>
  <c r="AK4" i="1"/>
  <c r="C4" i="1"/>
  <c r="C29" i="1" l="1"/>
  <c r="AC4" i="1"/>
  <c r="F29" i="1"/>
  <c r="M2" i="1"/>
  <c r="C8" i="1"/>
  <c r="X4" i="1" l="1"/>
  <c r="X6" i="1" s="1"/>
  <c r="U5" i="1"/>
  <c r="U4" i="1"/>
  <c r="E32" i="1" s="1"/>
  <c r="U3" i="1"/>
  <c r="T32" i="1" s="1"/>
  <c r="U2" i="1"/>
  <c r="B32" i="1" s="1"/>
  <c r="S23" i="1"/>
  <c r="T31" i="1" s="1"/>
  <c r="X8" i="1"/>
  <c r="X10" i="1" s="1"/>
  <c r="X7" i="1"/>
  <c r="X9" i="1" s="1"/>
  <c r="X5" i="1"/>
  <c r="E9" i="1"/>
  <c r="AK10" i="1" s="1"/>
  <c r="AM6" i="1" s="1"/>
  <c r="Z32" i="1" l="1"/>
  <c r="W32" i="1"/>
  <c r="I23" i="1"/>
  <c r="L23" i="1"/>
  <c r="V3" i="1"/>
  <c r="E40" i="1" s="1"/>
  <c r="AC6" i="1"/>
  <c r="AC5" i="1"/>
  <c r="Z6" i="1"/>
  <c r="Z3" i="1"/>
  <c r="Z5" i="1" s="1"/>
  <c r="Q4" i="1"/>
  <c r="T34" i="1" s="1"/>
  <c r="N4" i="1"/>
  <c r="T33" i="1" s="1"/>
  <c r="M4" i="1"/>
  <c r="M7" i="1" s="1"/>
  <c r="M3" i="1"/>
  <c r="M6" i="1" s="1"/>
  <c r="M5" i="1"/>
  <c r="C26" i="1" s="1"/>
  <c r="J3" i="1"/>
  <c r="J6" i="1" s="1"/>
  <c r="J2" i="1"/>
  <c r="G5" i="1"/>
  <c r="G9" i="1" s="1"/>
  <c r="G8" i="1"/>
  <c r="G2" i="1"/>
  <c r="G6" i="1" s="1"/>
  <c r="E2" i="1"/>
  <c r="C15" i="1"/>
  <c r="C19" i="1"/>
  <c r="C18" i="1"/>
  <c r="C17" i="1"/>
  <c r="C16" i="1"/>
  <c r="C14" i="1"/>
  <c r="C13" i="1"/>
  <c r="C7" i="1"/>
  <c r="C6" i="1"/>
  <c r="C5" i="1"/>
  <c r="I24" i="1" s="1"/>
  <c r="C3" i="1"/>
  <c r="C2" i="1"/>
  <c r="L24" i="1" l="1"/>
  <c r="AI9" i="1"/>
  <c r="AI8" i="1"/>
  <c r="AI7" i="1"/>
  <c r="W34" i="1"/>
  <c r="C23" i="1"/>
  <c r="X23" i="1" s="1"/>
  <c r="Z34" i="1"/>
  <c r="R23" i="1"/>
  <c r="F26" i="1"/>
  <c r="E6" i="1"/>
  <c r="AK3" i="1"/>
  <c r="C27" i="1"/>
  <c r="E8" i="1"/>
  <c r="AK9" i="1" s="1"/>
  <c r="AM5" i="1" s="1"/>
  <c r="AK5" i="1"/>
  <c r="L31" i="1"/>
  <c r="L32" i="1" s="1"/>
  <c r="C52" i="1" s="1"/>
  <c r="E34" i="1"/>
  <c r="C40" i="1"/>
  <c r="B34" i="1"/>
  <c r="I31" i="1"/>
  <c r="F23" i="1"/>
  <c r="F28" i="1"/>
  <c r="C28" i="1"/>
  <c r="J5" i="1"/>
  <c r="J8" i="1" s="1"/>
  <c r="G7" i="1"/>
  <c r="F24" i="1" s="1"/>
  <c r="F27" i="1"/>
  <c r="J4" i="1"/>
  <c r="J7" i="1" s="1"/>
  <c r="E7" i="1"/>
  <c r="C24" i="1" s="1"/>
  <c r="X24" i="1" l="1"/>
  <c r="AA24" i="1" s="1"/>
  <c r="AA23" i="1"/>
  <c r="C25" i="1"/>
  <c r="X25" i="1" s="1"/>
  <c r="AA25" i="1" s="1"/>
  <c r="F25" i="1"/>
  <c r="AK8" i="1"/>
  <c r="AM4" i="1" s="1"/>
  <c r="AK7" i="1"/>
  <c r="AM3" i="1" s="1"/>
  <c r="E52" i="1"/>
  <c r="E51" i="1"/>
  <c r="I32" i="1"/>
  <c r="C51" i="1" s="1"/>
  <c r="Z31" i="1" l="1"/>
  <c r="W31" i="1"/>
  <c r="W33" i="1" s="1"/>
  <c r="C53" i="1" s="1"/>
  <c r="O24" i="1"/>
  <c r="R24" i="1"/>
  <c r="Q31" i="1" s="1"/>
  <c r="Q32" i="1" s="1"/>
  <c r="C44" i="1" s="1"/>
  <c r="E53" i="1"/>
  <c r="E54" i="1"/>
  <c r="Z33" i="1"/>
  <c r="C54" i="1" s="1"/>
  <c r="E33" i="1"/>
  <c r="B33" i="1"/>
  <c r="C38" i="1" s="1"/>
  <c r="N25" i="1"/>
  <c r="E41" i="1" s="1"/>
  <c r="E39" i="1"/>
  <c r="E44" i="1" l="1"/>
  <c r="E38" i="1"/>
  <c r="N26" i="1"/>
  <c r="C41" i="1" s="1"/>
  <c r="C39" i="1"/>
</calcChain>
</file>

<file path=xl/comments1.xml><?xml version="1.0" encoding="utf-8"?>
<comments xmlns="http://schemas.openxmlformats.org/spreadsheetml/2006/main">
  <authors>
    <author>Utente</author>
  </authors>
  <commentList>
    <comment ref="V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Cofficente di combinazione delle azioni variabili</t>
        </r>
      </text>
    </comment>
    <comment ref="W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Sto realizzando una tamponatura con due fodere di mattoni forati:
8cm+camera d'aria+12cm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tengo conto di impianto di riscaldamento
</t>
        </r>
      </text>
    </comment>
    <comment ref="S22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Calcolare dettagliatamente
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Questa analisi dei carichi è sbagliata perché i carichi G1(CIOè QUELLI COMPIUTAMENTE DEFINITI) sono soletta,travetti,laterizi.Mentre i G2(sono quelli non compiutamente definiti come massetto pavimento intonaco e incidenza tramezzi)!!!! Quindi per un nuovo progetto devo fare qst distinzione perchè i G1 li moltiplico per 1,3 mentre i G2 li moltiplico per 1,5</t>
        </r>
      </text>
    </comment>
    <comment ref="L31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VEDI k 28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Siccome G2 vale 3,33 ed è compreso tra 3e4 allora userò un g2 di 1,60 vedi paragrafo 3.1.3.1
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gd+qd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gk+Ψ*qk</t>
        </r>
      </text>
    </comment>
  </commentList>
</comments>
</file>

<file path=xl/sharedStrings.xml><?xml version="1.0" encoding="utf-8"?>
<sst xmlns="http://schemas.openxmlformats.org/spreadsheetml/2006/main" count="267" uniqueCount="167">
  <si>
    <t>Pesi Specifici Materiali</t>
  </si>
  <si>
    <t>Laterizio 12x25x40      kN</t>
  </si>
  <si>
    <t>Laterizio 14x25x40      kN</t>
  </si>
  <si>
    <t>Laterizio 16x25x40      kN</t>
  </si>
  <si>
    <t>Laterizio 20x25x40      kN</t>
  </si>
  <si>
    <t>Laterizio 22x25x40     kN</t>
  </si>
  <si>
    <t>Laterizio 24x25x40     kN</t>
  </si>
  <si>
    <t>Laterizio 18x25x40      kN</t>
  </si>
  <si>
    <t>Dimensione travetti</t>
  </si>
  <si>
    <t>Dimensioni Pignatte solaio</t>
  </si>
  <si>
    <t>Dimensioni Pignatte Sbalzo</t>
  </si>
  <si>
    <t>Base  cm</t>
  </si>
  <si>
    <t>Altezza  cm</t>
  </si>
  <si>
    <t>Lunghezza  cm</t>
  </si>
  <si>
    <r>
      <t>Calcestruzzo armato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</si>
  <si>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t>Soletta  cm</t>
  </si>
  <si>
    <t>Numero travetti</t>
  </si>
  <si>
    <t>Base travetti  cm</t>
  </si>
  <si>
    <t>Altezza travetti (Solaio) cm</t>
  </si>
  <si>
    <t>Altezza travetti (Sbalzo) cm</t>
  </si>
  <si>
    <t>Sovraccarichi permanenti</t>
  </si>
  <si>
    <t>Massetto  cm</t>
  </si>
  <si>
    <t>Pavimento  cm</t>
  </si>
  <si>
    <t>Intonaco  cm</t>
  </si>
  <si>
    <r>
      <t xml:space="preserve">Coefficiente      </t>
    </r>
    <r>
      <rPr>
        <b/>
        <sz val="11"/>
        <color theme="1"/>
        <rFont val="Calibri"/>
        <family val="2"/>
      </rPr>
      <t>Ψ</t>
    </r>
    <r>
      <rPr>
        <b/>
        <vertAlign val="subscript"/>
        <sz val="11"/>
        <color theme="1"/>
        <rFont val="Calibri"/>
        <family val="2"/>
      </rPr>
      <t>2j</t>
    </r>
  </si>
  <si>
    <r>
      <t>Granito                    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</si>
  <si>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Gres                          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</si>
  <si>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Carichi</t>
    </r>
    <r>
      <rPr>
        <b/>
        <i/>
        <sz val="11"/>
        <color theme="1"/>
        <rFont val="Calibri"/>
        <family val="2"/>
        <scheme val="minor"/>
      </rPr>
      <t xml:space="preserve"> Varibili </t>
    </r>
    <r>
      <rPr>
        <b/>
        <sz val="11"/>
        <color theme="1"/>
        <rFont val="Calibri"/>
        <family val="2"/>
        <scheme val="minor"/>
      </rPr>
      <t>Sfavorevoli               A1  STR</t>
    </r>
  </si>
  <si>
    <r>
      <t xml:space="preserve">Carichi </t>
    </r>
    <r>
      <rPr>
        <b/>
        <i/>
        <sz val="11"/>
        <color theme="1"/>
        <rFont val="Calibri"/>
        <family val="2"/>
        <scheme val="minor"/>
      </rPr>
      <t xml:space="preserve">Permanenti </t>
    </r>
    <r>
      <rPr>
        <b/>
        <sz val="11"/>
        <color theme="1"/>
        <rFont val="Calibri"/>
        <family val="2"/>
        <scheme val="minor"/>
      </rPr>
      <t>Sfavorevoli           A1  STR</t>
    </r>
  </si>
  <si>
    <t>Carichi per unità di volume</t>
  </si>
  <si>
    <t>Base  m</t>
  </si>
  <si>
    <t>Altezza  m</t>
  </si>
  <si>
    <t>Lunghezza  m</t>
  </si>
  <si>
    <t>Soletta  m</t>
  </si>
  <si>
    <t>Base travetti  m</t>
  </si>
  <si>
    <t>Altezza travetti (Solaio) m</t>
  </si>
  <si>
    <t>Altezza travetti (Sbalzo) m</t>
  </si>
  <si>
    <t>Massetto  m</t>
  </si>
  <si>
    <t>Pavimento  m</t>
  </si>
  <si>
    <t>Intonaco  m</t>
  </si>
  <si>
    <t xml:space="preserve">Dimensione Travi a Spessore     </t>
  </si>
  <si>
    <t>Altezza     cm</t>
  </si>
  <si>
    <t>Base         cm</t>
  </si>
  <si>
    <t>Base         m</t>
  </si>
  <si>
    <t>Altezza     m</t>
  </si>
  <si>
    <t>SOLAIO</t>
  </si>
  <si>
    <t>BALCONE</t>
  </si>
  <si>
    <t>TAMPONATURE</t>
  </si>
  <si>
    <t>Laterizi                  kN/m</t>
  </si>
  <si>
    <t>Intonaco                 kN/m</t>
  </si>
  <si>
    <t xml:space="preserve">Tompagno          </t>
  </si>
  <si>
    <t>Altezza    m</t>
  </si>
  <si>
    <t>Spessore intonaco cm</t>
  </si>
  <si>
    <t>Spessore intonaco m</t>
  </si>
  <si>
    <t>Base(1)  cm</t>
  </si>
  <si>
    <t>Base(2)  cm</t>
  </si>
  <si>
    <t>Base(1)  m</t>
  </si>
  <si>
    <t>Base(2)  m</t>
  </si>
  <si>
    <t>TRAVE A SPESSORE</t>
  </si>
  <si>
    <t>Peso trave</t>
  </si>
  <si>
    <t>SCALA ?</t>
  </si>
  <si>
    <t>Coefficenti Parziali per le Azioni nelle verifiche SLU</t>
  </si>
  <si>
    <t>COPERTURA</t>
  </si>
  <si>
    <r>
      <t>Carichi d'esercizio   q</t>
    </r>
    <r>
      <rPr>
        <vertAlign val="subscript"/>
        <sz val="11"/>
        <color theme="1"/>
        <rFont val="Calibri"/>
        <family val="2"/>
        <scheme val="minor"/>
      </rPr>
      <t>k</t>
    </r>
  </si>
  <si>
    <t>Solaio</t>
  </si>
  <si>
    <t>Scala</t>
  </si>
  <si>
    <t>Balconi</t>
  </si>
  <si>
    <t>Copertura</t>
  </si>
  <si>
    <t>Carichi verticali Senza sisma</t>
  </si>
  <si>
    <t>Carichi verticali con sisma</t>
  </si>
  <si>
    <t>TRAMEZZI</t>
  </si>
  <si>
    <r>
      <t>Laterizio Forato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</si>
  <si>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vertAlign val="subscript"/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kN/m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</si>
  <si>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vertAlign val="subscript"/>
        <sz val="11"/>
        <color theme="1"/>
        <rFont val="Calibri"/>
        <family val="2"/>
        <scheme val="minor"/>
      </rPr>
      <t xml:space="preserve">    </t>
    </r>
    <r>
      <rPr>
        <sz val="11"/>
        <color theme="1"/>
        <rFont val="Calibri"/>
        <family val="2"/>
        <scheme val="minor"/>
      </rPr>
      <t>kN/m</t>
    </r>
  </si>
  <si>
    <t>tamponatura   kN/m</t>
  </si>
  <si>
    <t>tramezzi   kN/m</t>
  </si>
  <si>
    <t>q</t>
  </si>
  <si>
    <t>balcone    kN/m2</t>
  </si>
  <si>
    <t>scala   kN/m2</t>
  </si>
  <si>
    <t>Solaio Copertura   kN/m2</t>
  </si>
  <si>
    <t>Copertura   kN/m2</t>
  </si>
  <si>
    <t>Soletta                               kN/m2</t>
  </si>
  <si>
    <t>Travetti                                kN/m2</t>
  </si>
  <si>
    <t>Laterizi                                 kN/m2</t>
  </si>
  <si>
    <t>Massetto                            kN/m2</t>
  </si>
  <si>
    <t>Pavimento in granito       kN/m2</t>
  </si>
  <si>
    <t>Intonaco                               kN/m2</t>
  </si>
  <si>
    <t>Incidenza tramezzi             kN/m2</t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</si>
  <si>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vertAlign val="subscript"/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kN/m2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</si>
  <si>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 xml:space="preserve">k </t>
    </r>
    <r>
      <rPr>
        <vertAlign val="subscript"/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kN/m2</t>
    </r>
  </si>
  <si>
    <r>
      <rPr>
        <b/>
        <sz val="11"/>
        <color theme="1"/>
        <rFont val="Calibri"/>
        <family val="2"/>
        <scheme val="minor"/>
      </rPr>
      <t>g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vertAlign val="subscript"/>
        <sz val="11"/>
        <color theme="1"/>
        <rFont val="Calibri"/>
        <family val="2"/>
        <scheme val="minor"/>
      </rPr>
      <t xml:space="preserve">    </t>
    </r>
    <r>
      <rPr>
        <sz val="11"/>
        <color theme="1"/>
        <rFont val="Calibri"/>
        <family val="2"/>
        <scheme val="minor"/>
      </rPr>
      <t>kN/m2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</si>
  <si>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 kN/m2</t>
    </r>
  </si>
  <si>
    <t>Peso trave   kN/m2</t>
  </si>
  <si>
    <t>Peso solaio (a detrarre)   kN/m2</t>
  </si>
  <si>
    <r>
      <t>Massetto       clc          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</si>
  <si>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Massetto  allegerito        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</si>
  <si>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Malta e intonaco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</si>
  <si>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Soletta                               kN/m</t>
    </r>
    <r>
      <rPr>
        <vertAlign val="superscript"/>
        <sz val="11"/>
        <color theme="1"/>
        <rFont val="Calibri"/>
        <family val="2"/>
        <scheme val="minor"/>
      </rPr>
      <t>2</t>
    </r>
  </si>
  <si>
    <t>SOLAIO COPERTURA</t>
  </si>
  <si>
    <t>Soletta   cm</t>
  </si>
  <si>
    <t>Altezza Pignatta m</t>
  </si>
  <si>
    <t>Lunghezza Pignatta m</t>
  </si>
  <si>
    <t>Base Pignatta  m</t>
  </si>
  <si>
    <t>Base Pignatta   cm</t>
  </si>
  <si>
    <t>Altezza  Pignatta  cm</t>
  </si>
  <si>
    <t>Lunghezza Pignatta   cm</t>
  </si>
  <si>
    <t>Barriera a vapore  m</t>
  </si>
  <si>
    <t>Dimensioni Solaio da copertura</t>
  </si>
  <si>
    <t>Dimensioni Copertura</t>
  </si>
  <si>
    <t>Malta d'alletamento   m</t>
  </si>
  <si>
    <t>Coibente termico spessore   m</t>
  </si>
  <si>
    <t>Correnti     (8x8)    m</t>
  </si>
  <si>
    <t>Listelli      (5x5)   m</t>
  </si>
  <si>
    <t>Correnti     (8x8)     cm</t>
  </si>
  <si>
    <t>Listelli      (5x5)   cm</t>
  </si>
  <si>
    <t>Coppi  base     m</t>
  </si>
  <si>
    <t>Coppi      altezza   m</t>
  </si>
  <si>
    <t>Coppi      altezza   cm</t>
  </si>
  <si>
    <t>Coppi  base     cm</t>
  </si>
  <si>
    <r>
      <t>Laterizio Pieno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</si>
  <si>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Barriera a vapore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</si>
  <si>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Coibente termico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</si>
  <si>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Legno                       kN/m</t>
    </r>
    <r>
      <rPr>
        <vertAlign val="superscript"/>
        <sz val="11"/>
        <color theme="1"/>
        <rFont val="Calibri"/>
        <family val="2"/>
        <scheme val="minor"/>
      </rPr>
      <t>3</t>
    </r>
  </si>
  <si>
    <t>Listelli                                      kN/m2</t>
  </si>
  <si>
    <t>Correnti                                kN/m2</t>
  </si>
  <si>
    <t>Coppi                                     kN/m2</t>
  </si>
  <si>
    <t>Calcestruzzo utilizzato</t>
  </si>
  <si>
    <t>Acciaio utilizzato</t>
  </si>
  <si>
    <t>Rck</t>
  </si>
  <si>
    <t>fck</t>
  </si>
  <si>
    <t>fcm</t>
  </si>
  <si>
    <t>Ecm      [N/mm2 o Mpa]</t>
  </si>
  <si>
    <t>Ecm      [kN/m2]</t>
  </si>
  <si>
    <t>B450C</t>
  </si>
  <si>
    <r>
      <t>ϒ</t>
    </r>
    <r>
      <rPr>
        <vertAlign val="subscript"/>
        <sz val="11"/>
        <color theme="1"/>
        <rFont val="Calibri"/>
        <family val="2"/>
      </rPr>
      <t>M</t>
    </r>
  </si>
  <si>
    <r>
      <t>f</t>
    </r>
    <r>
      <rPr>
        <vertAlign val="subscript"/>
        <sz val="11"/>
        <color theme="1"/>
        <rFont val="Calibri"/>
        <family val="2"/>
      </rPr>
      <t>yd</t>
    </r>
  </si>
  <si>
    <t>PILASTRI</t>
  </si>
  <si>
    <t xml:space="preserve">pilastro  1° ordine  30*80  </t>
  </si>
  <si>
    <t>pilastro  2° ordine  30*80</t>
  </si>
  <si>
    <t>pilastro  3° ordine  30*70</t>
  </si>
  <si>
    <t>pilastro  4° ordine  30*70</t>
  </si>
  <si>
    <t>pilastro  5° ordine  30*60</t>
  </si>
  <si>
    <t>pilastro  6° ordine  30*60</t>
  </si>
  <si>
    <t>Dimensioni Trave Emergente    30X70</t>
  </si>
  <si>
    <t>Dimensioni Trave Emergente     30X60</t>
  </si>
  <si>
    <t>Dimensioni Trave Emergente     30X50</t>
  </si>
  <si>
    <t>Dimensioni PILASTRI</t>
  </si>
  <si>
    <t xml:space="preserve"> Altezza interpiano    m</t>
  </si>
  <si>
    <t>base  m</t>
  </si>
  <si>
    <t>altezza    m</t>
  </si>
  <si>
    <t>lunghezza    m</t>
  </si>
  <si>
    <t>Ordine</t>
  </si>
  <si>
    <t>TRAVE EMERGENTE 30x70</t>
  </si>
  <si>
    <t>TRAVE EMERGENTE  30x60</t>
  </si>
  <si>
    <t>TRAVE EMERGENTE   30x50</t>
  </si>
  <si>
    <t>solaio + incidenza tramezzi     kN/m2</t>
  </si>
  <si>
    <t>trave emergente(30X70)  kN/m</t>
  </si>
  <si>
    <t>trave emergente(30X60)   kN/m</t>
  </si>
  <si>
    <t>trave emergente(30X50)   kN/m</t>
  </si>
  <si>
    <t>trave a spessore(90X22) kN/m</t>
  </si>
  <si>
    <t>pilastro  6° ordine  30*60    kN/m</t>
  </si>
  <si>
    <t>pilastro  5° ordine  30*60    kN/m</t>
  </si>
  <si>
    <t>pilastro  4° ordine  30*70    kN/m</t>
  </si>
  <si>
    <t>pilastro  3° ordine  30*70    kN/m</t>
  </si>
  <si>
    <t>pilastro  2° ordine  30*80    kN/m</t>
  </si>
  <si>
    <t>pilastro  1° ordine  30*80     kN/m</t>
  </si>
  <si>
    <t>vedi b31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</si>
</sst>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16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14" borderId="2" xfId="0" applyFont="1" applyFill="1" applyBorder="1" applyAlignment="1">
      <alignment horizontal="center" vertical="center" wrapText="1"/>
    </xf>
    <xf numFmtId="0" fontId="0" fillId="14" borderId="3" xfId="0" applyFont="1" applyFill="1" applyBorder="1" applyAlignment="1">
      <alignment horizontal="center" vertical="center"/>
    </xf>
    <xf numFmtId="0" fontId="0" fillId="0" borderId="0" xfId="0" applyBorder="1"/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0" xfId="0" applyBorder="1"/>
    <xf numFmtId="0" fontId="1" fillId="3" borderId="1" xfId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3" borderId="1" xfId="1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8" xfId="0" applyNumberFormat="1" applyBorder="1"/>
    <xf numFmtId="2" fontId="0" fillId="0" borderId="0" xfId="0" applyNumberFormat="1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3" borderId="1" xfId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/>
    <xf numFmtId="0" fontId="0" fillId="0" borderId="12" xfId="0" applyFill="1" applyBorder="1" applyAlignment="1">
      <alignment vertical="center"/>
    </xf>
    <xf numFmtId="2" fontId="0" fillId="0" borderId="13" xfId="0" applyNumberFormat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3" borderId="15" xfId="0" applyNumberFormat="1" applyFill="1" applyBorder="1"/>
    <xf numFmtId="0" fontId="0" fillId="3" borderId="16" xfId="0" applyFill="1" applyBorder="1"/>
    <xf numFmtId="0" fontId="0" fillId="3" borderId="17" xfId="0" applyFill="1" applyBorder="1"/>
    <xf numFmtId="2" fontId="0" fillId="3" borderId="18" xfId="0" applyNumberFormat="1" applyFill="1" applyBorder="1"/>
    <xf numFmtId="0" fontId="0" fillId="3" borderId="14" xfId="0" applyFill="1" applyBorder="1"/>
    <xf numFmtId="0" fontId="0" fillId="3" borderId="19" xfId="0" applyFill="1" applyBorder="1"/>
    <xf numFmtId="2" fontId="1" fillId="3" borderId="1" xfId="1" applyNumberFormat="1" applyFill="1" applyAlignment="1">
      <alignment horizontal="center"/>
    </xf>
    <xf numFmtId="0" fontId="1" fillId="3" borderId="1" xfId="1" applyFill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1" borderId="3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/>
    </xf>
    <xf numFmtId="0" fontId="0" fillId="15" borderId="3" xfId="0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0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1" fillId="8" borderId="2" xfId="0" applyFont="1" applyFill="1" applyBorder="1" applyAlignment="1">
      <alignment horizontal="center" vertical="center" wrapText="1"/>
    </xf>
    <xf numFmtId="0" fontId="1" fillId="8" borderId="0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3" borderId="1" xfId="1" applyFill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8" fillId="17" borderId="2" xfId="0" applyFont="1" applyFill="1" applyBorder="1" applyAlignment="1">
      <alignment horizontal="center" vertical="center"/>
    </xf>
    <xf numFmtId="0" fontId="8" fillId="17" borderId="3" xfId="0" applyFont="1" applyFill="1" applyBorder="1" applyAlignment="1">
      <alignment horizontal="center" vertical="center"/>
    </xf>
    <xf numFmtId="0" fontId="0" fillId="16" borderId="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12" borderId="10" xfId="0" applyFont="1" applyFill="1" applyBorder="1" applyAlignment="1">
      <alignment horizontal="center" vertical="center"/>
    </xf>
  </cellXfs>
  <cellStyles count="2">
    <cellStyle name="Normale" xfId="0" builtinId="0"/>
    <cellStyle name="Totale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55"/>
  <sheetViews>
    <sheetView tabSelected="1" zoomScale="70" zoomScaleNormal="70" workbookViewId="0">
      <selection activeCell="G5" sqref="G5"/>
    </sheetView>
  </sheetViews>
  <sheetFormatPr defaultRowHeight="15" x14ac:dyDescent="0.25"/>
  <cols>
    <col min="1" max="1" width="13" customWidth="1"/>
    <col min="2" max="2" width="43.42578125" bestFit="1" customWidth="1"/>
    <col min="3" max="3" width="10.5703125" customWidth="1"/>
    <col min="4" max="4" width="22.5703125" customWidth="1"/>
    <col min="5" max="5" width="16.85546875" customWidth="1"/>
    <col min="6" max="6" width="16" customWidth="1"/>
    <col min="7" max="7" width="17" customWidth="1"/>
    <col min="8" max="8" width="10.7109375" customWidth="1"/>
    <col min="9" max="9" width="17" customWidth="1"/>
    <col min="11" max="11" width="18.7109375" customWidth="1"/>
    <col min="12" max="12" width="11.7109375" customWidth="1"/>
    <col min="13" max="13" width="10.7109375" customWidth="1"/>
    <col min="14" max="14" width="19.5703125" customWidth="1"/>
    <col min="15" max="15" width="8.7109375" customWidth="1"/>
    <col min="16" max="16" width="13.42578125" customWidth="1"/>
    <col min="17" max="17" width="17.42578125" customWidth="1"/>
    <col min="18" max="18" width="13.7109375" customWidth="1"/>
    <col min="19" max="19" width="12.140625" bestFit="1" customWidth="1"/>
    <col min="20" max="20" width="10.140625" customWidth="1"/>
    <col min="21" max="21" width="15.140625" customWidth="1"/>
    <col min="22" max="22" width="22.7109375" customWidth="1"/>
    <col min="23" max="23" width="24.42578125" bestFit="1" customWidth="1"/>
    <col min="24" max="24" width="14.42578125" customWidth="1"/>
    <col min="25" max="25" width="13.140625" bestFit="1" customWidth="1"/>
    <col min="26" max="26" width="16.28515625" customWidth="1"/>
    <col min="27" max="27" width="13.140625" customWidth="1"/>
    <col min="28" max="28" width="24.42578125" bestFit="1" customWidth="1"/>
    <col min="29" max="29" width="12.42578125" customWidth="1"/>
    <col min="30" max="30" width="11.5703125" bestFit="1" customWidth="1"/>
    <col min="31" max="31" width="22.140625" customWidth="1"/>
    <col min="32" max="32" width="24.42578125" bestFit="1" customWidth="1"/>
    <col min="33" max="33" width="15.5703125" customWidth="1"/>
    <col min="34" max="34" width="15.85546875" customWidth="1"/>
    <col min="35" max="35" width="19.7109375" customWidth="1"/>
    <col min="36" max="36" width="24.85546875" bestFit="1" customWidth="1"/>
    <col min="37" max="37" width="8.5703125" customWidth="1"/>
    <col min="38" max="38" width="29.7109375" bestFit="1" customWidth="1"/>
  </cols>
  <sheetData>
    <row r="1" spans="1:39" ht="15" customHeight="1" x14ac:dyDescent="0.25">
      <c r="A1" s="68" t="s">
        <v>0</v>
      </c>
      <c r="B1" s="68"/>
      <c r="C1" s="69"/>
      <c r="D1" s="102" t="s">
        <v>9</v>
      </c>
      <c r="E1" s="103"/>
      <c r="F1" s="104" t="s">
        <v>10</v>
      </c>
      <c r="G1" s="105"/>
      <c r="H1" s="64" t="s">
        <v>8</v>
      </c>
      <c r="I1" s="65"/>
      <c r="J1" s="66"/>
      <c r="K1" s="99" t="s">
        <v>20</v>
      </c>
      <c r="L1" s="100"/>
      <c r="M1" s="101"/>
      <c r="N1" s="87" t="s">
        <v>61</v>
      </c>
      <c r="O1" s="88"/>
      <c r="P1" s="88"/>
      <c r="Q1" s="88"/>
      <c r="R1" s="88"/>
      <c r="S1" s="89"/>
      <c r="T1" s="82" t="s">
        <v>63</v>
      </c>
      <c r="U1" s="83"/>
      <c r="V1" s="94" t="s">
        <v>24</v>
      </c>
      <c r="W1" s="75" t="s">
        <v>50</v>
      </c>
      <c r="X1" s="76"/>
      <c r="Y1" s="77" t="s">
        <v>143</v>
      </c>
      <c r="Z1" s="77"/>
      <c r="AA1" s="78"/>
      <c r="AB1" s="79" t="s">
        <v>40</v>
      </c>
      <c r="AC1" s="80"/>
      <c r="AD1" s="81"/>
      <c r="AE1" s="112" t="s">
        <v>146</v>
      </c>
      <c r="AF1" s="113"/>
      <c r="AG1" s="113"/>
      <c r="AH1" s="113"/>
      <c r="AI1" s="113"/>
      <c r="AJ1" s="108" t="s">
        <v>107</v>
      </c>
      <c r="AK1" s="109"/>
      <c r="AL1" s="108" t="s">
        <v>108</v>
      </c>
      <c r="AM1" s="109"/>
    </row>
    <row r="2" spans="1:39" ht="17.25" customHeight="1" x14ac:dyDescent="0.25">
      <c r="A2" s="67" t="s">
        <v>14</v>
      </c>
      <c r="B2" s="67"/>
      <c r="C2" s="4">
        <f>25</f>
        <v>25</v>
      </c>
      <c r="D2" s="3" t="s">
        <v>11</v>
      </c>
      <c r="E2" s="5">
        <f>25</f>
        <v>25</v>
      </c>
      <c r="F2" s="3" t="s">
        <v>11</v>
      </c>
      <c r="G2" s="5">
        <f>25</f>
        <v>25</v>
      </c>
      <c r="H2" s="98" t="s">
        <v>16</v>
      </c>
      <c r="I2" s="67"/>
      <c r="J2" s="5">
        <f>3</f>
        <v>3</v>
      </c>
      <c r="K2" s="98" t="s">
        <v>21</v>
      </c>
      <c r="L2" s="67"/>
      <c r="M2" s="5">
        <f>8</f>
        <v>8</v>
      </c>
      <c r="N2" s="84" t="s">
        <v>28</v>
      </c>
      <c r="O2" s="85"/>
      <c r="P2" s="86"/>
      <c r="Q2" s="90" t="s">
        <v>27</v>
      </c>
      <c r="R2" s="91"/>
      <c r="S2" s="92"/>
      <c r="T2" s="10" t="s">
        <v>64</v>
      </c>
      <c r="U2" s="11">
        <f>2</f>
        <v>2</v>
      </c>
      <c r="V2" s="94"/>
      <c r="W2" s="75"/>
      <c r="X2" s="76"/>
      <c r="Y2" s="77"/>
      <c r="Z2" s="77"/>
      <c r="AA2" s="78"/>
      <c r="AB2" s="79"/>
      <c r="AC2" s="80"/>
      <c r="AD2" s="81"/>
      <c r="AE2" s="112"/>
      <c r="AF2" s="113"/>
      <c r="AG2" s="113"/>
      <c r="AH2" s="113"/>
      <c r="AI2" s="113"/>
      <c r="AJ2" s="108"/>
      <c r="AK2" s="109"/>
      <c r="AL2" s="108"/>
      <c r="AM2" s="109"/>
    </row>
    <row r="3" spans="1:39" ht="17.25" x14ac:dyDescent="0.25">
      <c r="A3" s="67" t="s">
        <v>94</v>
      </c>
      <c r="B3" s="67"/>
      <c r="C3" s="4">
        <f>18</f>
        <v>18</v>
      </c>
      <c r="D3" s="3" t="s">
        <v>12</v>
      </c>
      <c r="E3" s="5">
        <f>18</f>
        <v>18</v>
      </c>
      <c r="F3" s="3" t="s">
        <v>12</v>
      </c>
      <c r="G3" s="5">
        <f>14</f>
        <v>14</v>
      </c>
      <c r="H3" s="98" t="s">
        <v>17</v>
      </c>
      <c r="I3" s="67"/>
      <c r="J3" s="5">
        <f>8</f>
        <v>8</v>
      </c>
      <c r="K3" s="98" t="s">
        <v>22</v>
      </c>
      <c r="L3" s="67"/>
      <c r="M3" s="5">
        <f>2</f>
        <v>2</v>
      </c>
      <c r="N3" s="84"/>
      <c r="O3" s="85"/>
      <c r="P3" s="86"/>
      <c r="Q3" s="90"/>
      <c r="R3" s="91"/>
      <c r="S3" s="92"/>
      <c r="T3" s="10" t="s">
        <v>65</v>
      </c>
      <c r="U3" s="11">
        <f>4</f>
        <v>4</v>
      </c>
      <c r="V3" s="4">
        <f>0.3</f>
        <v>0.3</v>
      </c>
      <c r="W3" s="8" t="s">
        <v>51</v>
      </c>
      <c r="X3" s="5">
        <v>3.2</v>
      </c>
      <c r="Y3" s="7" t="s">
        <v>42</v>
      </c>
      <c r="Z3" s="7">
        <f>30</f>
        <v>30</v>
      </c>
      <c r="AA3" s="6"/>
      <c r="AB3" s="3" t="s">
        <v>42</v>
      </c>
      <c r="AC3" s="7">
        <v>90</v>
      </c>
      <c r="AD3" s="6"/>
      <c r="AE3" s="44" t="s">
        <v>147</v>
      </c>
      <c r="AF3" s="44" t="s">
        <v>151</v>
      </c>
      <c r="AG3" s="44" t="s">
        <v>148</v>
      </c>
      <c r="AH3" s="44" t="s">
        <v>149</v>
      </c>
      <c r="AI3" s="44" t="s">
        <v>150</v>
      </c>
      <c r="AJ3" s="29" t="s">
        <v>103</v>
      </c>
      <c r="AK3" s="31">
        <f t="shared" ref="AK3:AK10" si="0">E2</f>
        <v>25</v>
      </c>
      <c r="AL3" s="29" t="s">
        <v>102</v>
      </c>
      <c r="AM3" s="28">
        <f>AK7</f>
        <v>0.25</v>
      </c>
    </row>
    <row r="4" spans="1:39" ht="17.25" x14ac:dyDescent="0.25">
      <c r="A4" s="67" t="s">
        <v>95</v>
      </c>
      <c r="B4" s="67"/>
      <c r="C4" s="27">
        <f>5</f>
        <v>5</v>
      </c>
      <c r="D4" s="3" t="s">
        <v>13</v>
      </c>
      <c r="E4" s="5">
        <v>40</v>
      </c>
      <c r="F4" s="3" t="s">
        <v>13</v>
      </c>
      <c r="G4" s="5">
        <v>40</v>
      </c>
      <c r="H4" s="98" t="s">
        <v>18</v>
      </c>
      <c r="I4" s="67"/>
      <c r="J4" s="5">
        <f>E3</f>
        <v>18</v>
      </c>
      <c r="K4" s="98" t="s">
        <v>23</v>
      </c>
      <c r="L4" s="67"/>
      <c r="M4" s="5">
        <f>2</f>
        <v>2</v>
      </c>
      <c r="N4" s="95">
        <f>1.3</f>
        <v>1.3</v>
      </c>
      <c r="O4" s="96"/>
      <c r="P4" s="97"/>
      <c r="Q4" s="95">
        <f>1.5</f>
        <v>1.5</v>
      </c>
      <c r="R4" s="96"/>
      <c r="S4" s="97"/>
      <c r="T4" s="9" t="s">
        <v>66</v>
      </c>
      <c r="U4" s="11">
        <f>4</f>
        <v>4</v>
      </c>
      <c r="W4" s="8" t="s">
        <v>52</v>
      </c>
      <c r="X4" s="5">
        <f>3</f>
        <v>3</v>
      </c>
      <c r="Y4" s="7" t="s">
        <v>41</v>
      </c>
      <c r="Z4" s="7">
        <v>70</v>
      </c>
      <c r="AA4" s="6"/>
      <c r="AB4" s="3" t="s">
        <v>41</v>
      </c>
      <c r="AC4" s="7">
        <f>E3+E5</f>
        <v>22</v>
      </c>
      <c r="AD4" s="12"/>
      <c r="AE4" s="43">
        <v>3.3</v>
      </c>
      <c r="AF4" s="45" t="s">
        <v>142</v>
      </c>
      <c r="AG4" s="42">
        <v>0.3</v>
      </c>
      <c r="AH4" s="42">
        <v>0.6</v>
      </c>
      <c r="AI4" s="40">
        <f>AE4-Z18</f>
        <v>2.8</v>
      </c>
      <c r="AJ4" s="29" t="s">
        <v>104</v>
      </c>
      <c r="AK4" s="31">
        <f t="shared" si="0"/>
        <v>18</v>
      </c>
      <c r="AL4" s="29" t="s">
        <v>100</v>
      </c>
      <c r="AM4" s="28">
        <f t="shared" ref="AM4:AM6" si="1">AK8</f>
        <v>0.18</v>
      </c>
    </row>
    <row r="5" spans="1:39" ht="17.25" x14ac:dyDescent="0.25">
      <c r="A5" s="67" t="s">
        <v>96</v>
      </c>
      <c r="B5" s="67"/>
      <c r="C5" s="4">
        <f>20</f>
        <v>20</v>
      </c>
      <c r="D5" s="3" t="s">
        <v>15</v>
      </c>
      <c r="E5" s="5">
        <v>4</v>
      </c>
      <c r="F5" s="3" t="s">
        <v>15</v>
      </c>
      <c r="G5" s="5">
        <f>4</f>
        <v>4</v>
      </c>
      <c r="H5" s="98" t="s">
        <v>19</v>
      </c>
      <c r="I5" s="67"/>
      <c r="J5" s="5">
        <f>G3</f>
        <v>14</v>
      </c>
      <c r="K5" s="98" t="s">
        <v>37</v>
      </c>
      <c r="L5" s="67"/>
      <c r="M5" s="5">
        <f>M2*0.01</f>
        <v>0.08</v>
      </c>
      <c r="T5" s="12" t="s">
        <v>67</v>
      </c>
      <c r="U5" s="4">
        <f>0.5</f>
        <v>0.5</v>
      </c>
      <c r="W5" s="8" t="s">
        <v>12</v>
      </c>
      <c r="X5" s="5">
        <f>X3*1000</f>
        <v>3200</v>
      </c>
      <c r="Y5" s="7" t="s">
        <v>43</v>
      </c>
      <c r="Z5" s="7">
        <f>Z3*0.01</f>
        <v>0.3</v>
      </c>
      <c r="AA5" s="6"/>
      <c r="AB5" s="3" t="s">
        <v>43</v>
      </c>
      <c r="AC5" s="7">
        <f>AC3*0.01</f>
        <v>0.9</v>
      </c>
      <c r="AD5" s="12"/>
      <c r="AE5" s="43">
        <v>3.3</v>
      </c>
      <c r="AF5" s="45" t="s">
        <v>141</v>
      </c>
      <c r="AG5" s="42">
        <v>0.3</v>
      </c>
      <c r="AH5" s="42">
        <v>0.6</v>
      </c>
      <c r="AI5" s="40">
        <f>AE5-Z12</f>
        <v>2.6999999999999997</v>
      </c>
      <c r="AJ5" s="29" t="s">
        <v>105</v>
      </c>
      <c r="AK5" s="31">
        <f t="shared" si="0"/>
        <v>40</v>
      </c>
      <c r="AL5" s="29" t="s">
        <v>101</v>
      </c>
      <c r="AM5" s="28">
        <f t="shared" si="1"/>
        <v>0.4</v>
      </c>
    </row>
    <row r="6" spans="1:39" ht="17.25" x14ac:dyDescent="0.25">
      <c r="A6" s="67" t="s">
        <v>25</v>
      </c>
      <c r="B6" s="67"/>
      <c r="C6" s="4">
        <f>27</f>
        <v>27</v>
      </c>
      <c r="D6" s="3" t="s">
        <v>30</v>
      </c>
      <c r="E6" s="4">
        <f>E2*0.01</f>
        <v>0.25</v>
      </c>
      <c r="F6" s="3" t="s">
        <v>30</v>
      </c>
      <c r="G6" s="5">
        <f>G2*0.01</f>
        <v>0.25</v>
      </c>
      <c r="H6" s="98" t="s">
        <v>34</v>
      </c>
      <c r="I6" s="67"/>
      <c r="J6" s="5">
        <f>J3*0.01</f>
        <v>0.08</v>
      </c>
      <c r="K6" s="98" t="s">
        <v>38</v>
      </c>
      <c r="L6" s="67"/>
      <c r="M6" s="5">
        <f>M3*0.01</f>
        <v>0.02</v>
      </c>
      <c r="W6" s="8" t="s">
        <v>53</v>
      </c>
      <c r="X6" s="5">
        <f>X4*0.01</f>
        <v>0.03</v>
      </c>
      <c r="Y6" s="7" t="s">
        <v>44</v>
      </c>
      <c r="Z6" s="7">
        <f>Z4*0.01</f>
        <v>0.70000000000000007</v>
      </c>
      <c r="AA6" s="6"/>
      <c r="AB6" s="3" t="s">
        <v>44</v>
      </c>
      <c r="AC6" s="7">
        <f>AC4*0.01</f>
        <v>0.22</v>
      </c>
      <c r="AD6" s="12"/>
      <c r="AE6" s="43">
        <v>3.3</v>
      </c>
      <c r="AF6" s="45" t="s">
        <v>140</v>
      </c>
      <c r="AG6" s="42">
        <v>0.3</v>
      </c>
      <c r="AH6" s="42">
        <v>0.7</v>
      </c>
      <c r="AI6" s="40">
        <f>AE6-Z12</f>
        <v>2.6999999999999997</v>
      </c>
      <c r="AJ6" s="29" t="s">
        <v>99</v>
      </c>
      <c r="AK6" s="31">
        <f t="shared" si="0"/>
        <v>4</v>
      </c>
      <c r="AL6" s="29" t="s">
        <v>33</v>
      </c>
      <c r="AM6" s="28">
        <f t="shared" si="1"/>
        <v>0.04</v>
      </c>
    </row>
    <row r="7" spans="1:39" ht="17.25" x14ac:dyDescent="0.25">
      <c r="A7" s="67" t="s">
        <v>26</v>
      </c>
      <c r="B7" s="67"/>
      <c r="C7" s="4">
        <f>22</f>
        <v>22</v>
      </c>
      <c r="D7" s="3" t="s">
        <v>31</v>
      </c>
      <c r="E7" s="4">
        <f>E3*0.01</f>
        <v>0.18</v>
      </c>
      <c r="F7" s="3" t="s">
        <v>31</v>
      </c>
      <c r="G7" s="5">
        <f>G3*0.01</f>
        <v>0.14000000000000001</v>
      </c>
      <c r="H7" s="98" t="s">
        <v>35</v>
      </c>
      <c r="I7" s="67"/>
      <c r="J7" s="5">
        <f t="shared" ref="J7:J8" si="2">J4*0.01</f>
        <v>0.18</v>
      </c>
      <c r="K7" s="98" t="s">
        <v>39</v>
      </c>
      <c r="L7" s="67"/>
      <c r="M7" s="5">
        <f>M4*0.01</f>
        <v>0.02</v>
      </c>
      <c r="W7" s="3" t="s">
        <v>54</v>
      </c>
      <c r="X7" s="5">
        <f>8</f>
        <v>8</v>
      </c>
      <c r="Y7" s="77" t="s">
        <v>144</v>
      </c>
      <c r="Z7" s="77"/>
      <c r="AA7" s="78"/>
      <c r="AE7" s="43">
        <v>3.3</v>
      </c>
      <c r="AF7" s="45" t="s">
        <v>139</v>
      </c>
      <c r="AG7" s="42">
        <v>0.3</v>
      </c>
      <c r="AH7" s="42">
        <v>0.7</v>
      </c>
      <c r="AI7" s="40">
        <f>AE7-Z6</f>
        <v>2.5999999999999996</v>
      </c>
      <c r="AJ7" s="29" t="s">
        <v>102</v>
      </c>
      <c r="AK7" s="31">
        <f t="shared" si="0"/>
        <v>0.25</v>
      </c>
      <c r="AL7" s="29" t="s">
        <v>109</v>
      </c>
      <c r="AM7" s="32">
        <f>0.01</f>
        <v>0.01</v>
      </c>
    </row>
    <row r="8" spans="1:39" ht="17.25" x14ac:dyDescent="0.25">
      <c r="A8" s="70" t="s">
        <v>71</v>
      </c>
      <c r="B8" s="70"/>
      <c r="C8" s="24">
        <f>8</f>
        <v>8</v>
      </c>
      <c r="D8" s="3" t="s">
        <v>32</v>
      </c>
      <c r="E8" s="4">
        <f t="shared" ref="E8:E9" si="3">E4*0.01</f>
        <v>0.4</v>
      </c>
      <c r="F8" s="3" t="s">
        <v>32</v>
      </c>
      <c r="G8" s="5">
        <f t="shared" ref="G8:G9" si="4">G4*0.01</f>
        <v>0.4</v>
      </c>
      <c r="H8" s="98" t="s">
        <v>36</v>
      </c>
      <c r="I8" s="67"/>
      <c r="J8" s="5">
        <f t="shared" si="2"/>
        <v>0.14000000000000001</v>
      </c>
      <c r="W8" s="3" t="s">
        <v>55</v>
      </c>
      <c r="X8" s="5">
        <f>12</f>
        <v>12</v>
      </c>
      <c r="Y8" s="77"/>
      <c r="Z8" s="77"/>
      <c r="AA8" s="78"/>
      <c r="AE8" s="43">
        <v>3.3</v>
      </c>
      <c r="AF8" s="45" t="s">
        <v>138</v>
      </c>
      <c r="AG8" s="42">
        <v>0.3</v>
      </c>
      <c r="AH8" s="42">
        <v>0.8</v>
      </c>
      <c r="AI8" s="40">
        <f>AE8-Z6</f>
        <v>2.5999999999999996</v>
      </c>
      <c r="AJ8" s="29" t="s">
        <v>100</v>
      </c>
      <c r="AK8" s="31">
        <f t="shared" si="0"/>
        <v>0.18</v>
      </c>
      <c r="AL8" s="29" t="s">
        <v>113</v>
      </c>
      <c r="AM8" s="32">
        <f>8</f>
        <v>8</v>
      </c>
    </row>
    <row r="9" spans="1:39" ht="17.25" x14ac:dyDescent="0.25">
      <c r="A9" s="70" t="s">
        <v>119</v>
      </c>
      <c r="B9" s="70"/>
      <c r="C9" s="31">
        <f>18</f>
        <v>18</v>
      </c>
      <c r="D9" s="3" t="s">
        <v>33</v>
      </c>
      <c r="E9" s="4">
        <f t="shared" si="3"/>
        <v>0.04</v>
      </c>
      <c r="F9" s="3" t="s">
        <v>33</v>
      </c>
      <c r="G9" s="5">
        <f t="shared" si="4"/>
        <v>0.04</v>
      </c>
      <c r="W9" s="3" t="s">
        <v>56</v>
      </c>
      <c r="X9" s="5">
        <f>X7*0.01</f>
        <v>0.08</v>
      </c>
      <c r="Y9" s="40" t="s">
        <v>42</v>
      </c>
      <c r="Z9" s="40">
        <f>30</f>
        <v>30</v>
      </c>
      <c r="AA9" s="6"/>
      <c r="AE9" s="43">
        <v>3.6</v>
      </c>
      <c r="AF9" s="45" t="s">
        <v>137</v>
      </c>
      <c r="AG9" s="42">
        <v>0.3</v>
      </c>
      <c r="AH9" s="42">
        <v>0.8</v>
      </c>
      <c r="AI9" s="40">
        <f>AE9-Z6</f>
        <v>2.9</v>
      </c>
      <c r="AJ9" s="29" t="s">
        <v>101</v>
      </c>
      <c r="AK9" s="31">
        <f t="shared" si="0"/>
        <v>0.4</v>
      </c>
      <c r="AL9" s="29" t="s">
        <v>114</v>
      </c>
      <c r="AM9" s="28">
        <f>5</f>
        <v>5</v>
      </c>
    </row>
    <row r="10" spans="1:39" ht="17.25" x14ac:dyDescent="0.25">
      <c r="A10" s="67" t="s">
        <v>122</v>
      </c>
      <c r="B10" s="67"/>
      <c r="C10" s="5">
        <f>8</f>
        <v>8</v>
      </c>
      <c r="D10" s="106" t="s">
        <v>126</v>
      </c>
      <c r="E10" s="107"/>
      <c r="F10" s="106" t="s">
        <v>127</v>
      </c>
      <c r="G10" s="107"/>
      <c r="W10" s="3" t="s">
        <v>57</v>
      </c>
      <c r="X10" s="5">
        <f>X8*0.01</f>
        <v>0.12</v>
      </c>
      <c r="Y10" s="40" t="s">
        <v>41</v>
      </c>
      <c r="Z10" s="40">
        <v>60</v>
      </c>
      <c r="AA10" s="6"/>
      <c r="AJ10" s="29" t="s">
        <v>33</v>
      </c>
      <c r="AK10" s="31">
        <f t="shared" si="0"/>
        <v>0.04</v>
      </c>
      <c r="AL10" s="29" t="s">
        <v>111</v>
      </c>
      <c r="AM10" s="31">
        <f>AM8*0.01</f>
        <v>0.08</v>
      </c>
    </row>
    <row r="11" spans="1:39" ht="17.25" x14ac:dyDescent="0.25">
      <c r="A11" s="67" t="s">
        <v>120</v>
      </c>
      <c r="B11" s="67"/>
      <c r="C11" s="5">
        <f>5.5</f>
        <v>5.5</v>
      </c>
      <c r="D11" s="35" t="s">
        <v>128</v>
      </c>
      <c r="E11" s="5">
        <v>30</v>
      </c>
      <c r="F11" s="35" t="s">
        <v>133</v>
      </c>
      <c r="G11" s="5">
        <v>450</v>
      </c>
      <c r="Q11" s="46"/>
      <c r="R11" s="46"/>
      <c r="S11" s="114"/>
      <c r="T11" s="114"/>
      <c r="U11" s="114"/>
      <c r="V11" s="114"/>
      <c r="W11" s="114"/>
      <c r="Y11" s="43" t="s">
        <v>43</v>
      </c>
      <c r="Z11" s="40">
        <f>Z9*0.01</f>
        <v>0.3</v>
      </c>
      <c r="AA11" s="6"/>
      <c r="AL11" s="29" t="s">
        <v>112</v>
      </c>
      <c r="AM11" s="31">
        <f>AM9*0.01</f>
        <v>0.05</v>
      </c>
    </row>
    <row r="12" spans="1:39" ht="18" x14ac:dyDescent="0.25">
      <c r="A12" s="67" t="s">
        <v>121</v>
      </c>
      <c r="B12" s="67"/>
      <c r="C12" s="5">
        <f>0.88</f>
        <v>0.88</v>
      </c>
      <c r="D12" s="35" t="s">
        <v>129</v>
      </c>
      <c r="E12" s="5">
        <v>25</v>
      </c>
      <c r="F12" s="37" t="s">
        <v>134</v>
      </c>
      <c r="G12" s="5">
        <v>1.1499999999999999</v>
      </c>
      <c r="W12" s="2"/>
      <c r="Y12" s="43" t="s">
        <v>44</v>
      </c>
      <c r="Z12" s="40">
        <f>Z10*0.01</f>
        <v>0.6</v>
      </c>
      <c r="AA12" s="6"/>
      <c r="AL12" s="29" t="s">
        <v>117</v>
      </c>
      <c r="AM12" s="28">
        <f>26</f>
        <v>26</v>
      </c>
    </row>
    <row r="13" spans="1:39" ht="18" customHeight="1" x14ac:dyDescent="0.25">
      <c r="A13" s="67" t="s">
        <v>1</v>
      </c>
      <c r="B13" s="67"/>
      <c r="C13" s="4">
        <f>0.062</f>
        <v>6.2E-2</v>
      </c>
      <c r="D13" s="35" t="s">
        <v>130</v>
      </c>
      <c r="E13" s="5">
        <f>E12+8</f>
        <v>33</v>
      </c>
      <c r="F13" s="37" t="s">
        <v>135</v>
      </c>
      <c r="G13" s="38">
        <f>G11/G12</f>
        <v>391.304347826087</v>
      </c>
      <c r="Y13" s="111" t="s">
        <v>145</v>
      </c>
      <c r="Z13" s="77"/>
      <c r="AA13" s="78"/>
      <c r="AL13" s="29" t="s">
        <v>118</v>
      </c>
      <c r="AM13" s="31">
        <f>42</f>
        <v>42</v>
      </c>
    </row>
    <row r="14" spans="1:39" x14ac:dyDescent="0.25">
      <c r="A14" s="67" t="s">
        <v>2</v>
      </c>
      <c r="B14" s="67"/>
      <c r="C14" s="4">
        <f>0.068</f>
        <v>6.8000000000000005E-2</v>
      </c>
      <c r="D14" s="35" t="s">
        <v>131</v>
      </c>
      <c r="E14" s="38">
        <f>22000*((E13/10)^(0.3))</f>
        <v>31475.806210019346</v>
      </c>
      <c r="F14" s="35"/>
      <c r="G14" s="5"/>
      <c r="Y14" s="111"/>
      <c r="Z14" s="77"/>
      <c r="AA14" s="78"/>
      <c r="AL14" s="29" t="s">
        <v>116</v>
      </c>
      <c r="AM14" s="31">
        <f>AM12*0.01</f>
        <v>0.26</v>
      </c>
    </row>
    <row r="15" spans="1:39" x14ac:dyDescent="0.25">
      <c r="A15" s="67" t="s">
        <v>3</v>
      </c>
      <c r="B15" s="67"/>
      <c r="C15" s="4">
        <f>0.069</f>
        <v>6.9000000000000006E-2</v>
      </c>
      <c r="D15" s="35" t="s">
        <v>132</v>
      </c>
      <c r="E15" s="38">
        <f>E14*1000</f>
        <v>31475806.210019346</v>
      </c>
      <c r="F15" s="35"/>
      <c r="G15" s="36"/>
      <c r="Y15" s="43" t="s">
        <v>42</v>
      </c>
      <c r="Z15" s="40">
        <f>30</f>
        <v>30</v>
      </c>
      <c r="AA15" s="6"/>
      <c r="AL15" s="29" t="s">
        <v>115</v>
      </c>
      <c r="AM15" s="31">
        <f>AM13*0.01</f>
        <v>0.42</v>
      </c>
    </row>
    <row r="16" spans="1:39" x14ac:dyDescent="0.25">
      <c r="A16" s="67" t="s">
        <v>7</v>
      </c>
      <c r="B16" s="67"/>
      <c r="C16" s="4">
        <f>0.076</f>
        <v>7.5999999999999998E-2</v>
      </c>
      <c r="Y16" s="43" t="s">
        <v>41</v>
      </c>
      <c r="Z16" s="40">
        <v>50</v>
      </c>
      <c r="AA16" s="6"/>
      <c r="AL16" s="29" t="s">
        <v>106</v>
      </c>
      <c r="AM16" s="31">
        <f>0.0003</f>
        <v>2.9999999999999997E-4</v>
      </c>
    </row>
    <row r="17" spans="1:39" x14ac:dyDescent="0.25">
      <c r="A17" s="67" t="s">
        <v>4</v>
      </c>
      <c r="B17" s="67"/>
      <c r="C17" s="4">
        <f>0.082</f>
        <v>8.2000000000000003E-2</v>
      </c>
      <c r="Y17" s="43" t="s">
        <v>43</v>
      </c>
      <c r="Z17" s="40">
        <f>Z15*0.01</f>
        <v>0.3</v>
      </c>
      <c r="AA17" s="6"/>
      <c r="AL17" s="29" t="s">
        <v>110</v>
      </c>
      <c r="AM17" s="31">
        <f>0.08</f>
        <v>0.08</v>
      </c>
    </row>
    <row r="18" spans="1:39" x14ac:dyDescent="0.25">
      <c r="A18" s="67" t="s">
        <v>5</v>
      </c>
      <c r="B18" s="67"/>
      <c r="C18" s="4">
        <f>0.085</f>
        <v>8.5000000000000006E-2</v>
      </c>
      <c r="G18" s="56">
        <f>SUM(C23:C25)</f>
        <v>3.16</v>
      </c>
      <c r="H18" s="57"/>
      <c r="I18" s="57"/>
      <c r="J18" s="58"/>
      <c r="K18" s="110" t="s">
        <v>166</v>
      </c>
      <c r="Y18" s="43" t="s">
        <v>44</v>
      </c>
      <c r="Z18" s="40">
        <f>Z16*0.01</f>
        <v>0.5</v>
      </c>
      <c r="AA18" s="6"/>
    </row>
    <row r="19" spans="1:39" x14ac:dyDescent="0.25">
      <c r="A19" s="67" t="s">
        <v>6</v>
      </c>
      <c r="B19" s="67"/>
      <c r="C19" s="4">
        <f>0.101</f>
        <v>0.10100000000000001</v>
      </c>
      <c r="G19" s="59">
        <f>SUM(C26:C29)</f>
        <v>2.9400000000000004</v>
      </c>
      <c r="H19" s="60">
        <f>G18*1.3</f>
        <v>4.1080000000000005</v>
      </c>
      <c r="I19" s="60">
        <f>G19*1.5</f>
        <v>4.41</v>
      </c>
      <c r="J19" s="61">
        <f>H19+I19</f>
        <v>8.5180000000000007</v>
      </c>
      <c r="K19" s="110"/>
    </row>
    <row r="21" spans="1:39" ht="15.75" thickBot="1" x14ac:dyDescent="0.3">
      <c r="A21" s="115" t="s">
        <v>29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</row>
    <row r="22" spans="1:39" x14ac:dyDescent="0.25">
      <c r="A22" s="72" t="s">
        <v>45</v>
      </c>
      <c r="B22" s="73"/>
      <c r="C22" s="74"/>
      <c r="D22" s="72" t="s">
        <v>46</v>
      </c>
      <c r="E22" s="73"/>
      <c r="F22" s="74"/>
      <c r="G22" s="72" t="s">
        <v>47</v>
      </c>
      <c r="H22" s="73"/>
      <c r="I22" s="74"/>
      <c r="J22" s="72" t="s">
        <v>70</v>
      </c>
      <c r="K22" s="73"/>
      <c r="L22" s="74"/>
      <c r="M22" s="72" t="s">
        <v>152</v>
      </c>
      <c r="N22" s="73"/>
      <c r="O22" s="74"/>
      <c r="P22" s="72" t="s">
        <v>58</v>
      </c>
      <c r="Q22" s="73"/>
      <c r="R22" s="74"/>
      <c r="S22" s="72" t="s">
        <v>60</v>
      </c>
      <c r="T22" s="73"/>
      <c r="U22" s="74"/>
      <c r="V22" s="72" t="s">
        <v>98</v>
      </c>
      <c r="W22" s="73"/>
      <c r="X22" s="74"/>
      <c r="Y22" s="72" t="s">
        <v>62</v>
      </c>
      <c r="Z22" s="73"/>
      <c r="AA22" s="74"/>
      <c r="AB22" s="72" t="s">
        <v>136</v>
      </c>
      <c r="AC22" s="73"/>
      <c r="AD22" s="74"/>
    </row>
    <row r="23" spans="1:39" ht="18" x14ac:dyDescent="0.25">
      <c r="A23" s="71" t="s">
        <v>97</v>
      </c>
      <c r="B23" s="67"/>
      <c r="C23" s="14">
        <f>E9*1*1*C2</f>
        <v>1</v>
      </c>
      <c r="D23" s="71" t="s">
        <v>81</v>
      </c>
      <c r="E23" s="67"/>
      <c r="F23" s="14">
        <f>G9*1*1*C2</f>
        <v>1</v>
      </c>
      <c r="G23" s="71" t="s">
        <v>48</v>
      </c>
      <c r="H23" s="67"/>
      <c r="I23" s="13">
        <f>(X9+X10)*X3*1*C8</f>
        <v>5.120000000000001</v>
      </c>
      <c r="J23" s="71" t="s">
        <v>48</v>
      </c>
      <c r="K23" s="67"/>
      <c r="L23" s="14">
        <f>X9*X3*1*C8</f>
        <v>2.048</v>
      </c>
      <c r="M23" s="71" t="s">
        <v>92</v>
      </c>
      <c r="N23" s="67"/>
      <c r="O23" s="13">
        <f>Z5*Z6*C2</f>
        <v>5.2500000000000009</v>
      </c>
      <c r="P23" s="71" t="s">
        <v>59</v>
      </c>
      <c r="Q23" s="67"/>
      <c r="R23" s="13">
        <f>AC5*AC6*1*C2</f>
        <v>4.95</v>
      </c>
      <c r="S23" s="71">
        <f>5.3</f>
        <v>5.3</v>
      </c>
      <c r="T23" s="67"/>
      <c r="U23" s="16"/>
      <c r="V23" s="71" t="s">
        <v>97</v>
      </c>
      <c r="W23" s="67"/>
      <c r="X23" s="14">
        <f>C23</f>
        <v>1</v>
      </c>
      <c r="Y23" s="71" t="s">
        <v>97</v>
      </c>
      <c r="Z23" s="67"/>
      <c r="AA23" s="14">
        <f>X23</f>
        <v>1</v>
      </c>
      <c r="AB23" s="45" t="s">
        <v>142</v>
      </c>
      <c r="AC23" s="40" t="s">
        <v>88</v>
      </c>
      <c r="AD23" s="52">
        <f>AG4*AH4*AI4*$C$2*1</f>
        <v>12.6</v>
      </c>
    </row>
    <row r="24" spans="1:39" ht="18" x14ac:dyDescent="0.25">
      <c r="A24" s="71" t="s">
        <v>82</v>
      </c>
      <c r="B24" s="67"/>
      <c r="C24" s="14">
        <f>J2*(J6*E7)*1*C2</f>
        <v>1.08</v>
      </c>
      <c r="D24" s="71" t="s">
        <v>82</v>
      </c>
      <c r="E24" s="67"/>
      <c r="F24" s="14">
        <f>J2*(J6*G7)*1*C2</f>
        <v>0.84000000000000008</v>
      </c>
      <c r="G24" s="71" t="s">
        <v>49</v>
      </c>
      <c r="H24" s="67"/>
      <c r="I24" s="13">
        <f>X6*X3*1*C5</f>
        <v>1.92</v>
      </c>
      <c r="J24" s="71" t="s">
        <v>49</v>
      </c>
      <c r="K24" s="67"/>
      <c r="L24" s="13">
        <f>M7*X3*1*C5</f>
        <v>1.28</v>
      </c>
      <c r="M24" s="71" t="s">
        <v>93</v>
      </c>
      <c r="N24" s="67"/>
      <c r="O24" s="14">
        <f>Z5*(C23+C24+C25)*1</f>
        <v>0.94799999999999995</v>
      </c>
      <c r="P24" s="71" t="s">
        <v>93</v>
      </c>
      <c r="Q24" s="67"/>
      <c r="R24" s="14">
        <f>AC5*1*(C23+C24+C25)</f>
        <v>2.8440000000000003</v>
      </c>
      <c r="S24" s="15"/>
      <c r="T24" s="12"/>
      <c r="U24" s="16"/>
      <c r="V24" s="71" t="s">
        <v>82</v>
      </c>
      <c r="W24" s="67"/>
      <c r="X24" s="14">
        <f t="shared" ref="X24:X25" si="5">C24</f>
        <v>1.08</v>
      </c>
      <c r="Y24" s="71" t="s">
        <v>82</v>
      </c>
      <c r="Z24" s="67"/>
      <c r="AA24" s="14">
        <f t="shared" ref="AA24:AA26" si="6">X24</f>
        <v>1.08</v>
      </c>
      <c r="AB24" s="45" t="s">
        <v>141</v>
      </c>
      <c r="AC24" s="40" t="s">
        <v>88</v>
      </c>
      <c r="AD24" s="52">
        <f t="shared" ref="AD24:AD28" si="7">AG5*AH5*AI5*$C$2*1</f>
        <v>12.149999999999999</v>
      </c>
    </row>
    <row r="25" spans="1:39" ht="18" x14ac:dyDescent="0.25">
      <c r="A25" s="71" t="s">
        <v>83</v>
      </c>
      <c r="B25" s="67"/>
      <c r="C25" s="14">
        <f>C8*E6*E7*J2</f>
        <v>1.08</v>
      </c>
      <c r="D25" s="71" t="s">
        <v>83</v>
      </c>
      <c r="E25" s="67"/>
      <c r="F25" s="14">
        <f>G6*G7*C8*J2</f>
        <v>0.84000000000000008</v>
      </c>
      <c r="G25" s="15"/>
      <c r="H25" s="12"/>
      <c r="I25" s="16"/>
      <c r="J25" s="15"/>
      <c r="K25" s="12"/>
      <c r="L25" s="16"/>
      <c r="M25" s="17" t="s">
        <v>88</v>
      </c>
      <c r="N25" s="18">
        <f>O23-O24</f>
        <v>4.3020000000000014</v>
      </c>
      <c r="O25" s="16"/>
      <c r="P25" s="15"/>
      <c r="Q25" s="12"/>
      <c r="R25" s="16"/>
      <c r="S25" s="15"/>
      <c r="T25" s="12"/>
      <c r="U25" s="16"/>
      <c r="V25" s="71" t="s">
        <v>83</v>
      </c>
      <c r="W25" s="67"/>
      <c r="X25" s="14">
        <f t="shared" si="5"/>
        <v>1.08</v>
      </c>
      <c r="Y25" s="71" t="s">
        <v>83</v>
      </c>
      <c r="Z25" s="67"/>
      <c r="AA25" s="14">
        <f t="shared" si="6"/>
        <v>1.08</v>
      </c>
      <c r="AB25" s="45" t="s">
        <v>140</v>
      </c>
      <c r="AC25" s="40" t="s">
        <v>88</v>
      </c>
      <c r="AD25" s="52">
        <f t="shared" si="7"/>
        <v>14.174999999999999</v>
      </c>
    </row>
    <row r="26" spans="1:39" ht="18.75" thickBot="1" x14ac:dyDescent="0.3">
      <c r="A26" s="71" t="s">
        <v>84</v>
      </c>
      <c r="B26" s="67"/>
      <c r="C26" s="14">
        <f>M5*1*1*C4</f>
        <v>0.4</v>
      </c>
      <c r="D26" s="71" t="s">
        <v>84</v>
      </c>
      <c r="E26" s="67"/>
      <c r="F26" s="14">
        <f>M5*1*1*C4</f>
        <v>0.4</v>
      </c>
      <c r="G26" s="15"/>
      <c r="H26" s="12"/>
      <c r="I26" s="16"/>
      <c r="J26" s="15"/>
      <c r="K26" s="12"/>
      <c r="L26" s="16"/>
      <c r="M26" s="17" t="s">
        <v>90</v>
      </c>
      <c r="N26" s="18">
        <f>N25*N4</f>
        <v>5.5926000000000018</v>
      </c>
      <c r="O26" s="16"/>
      <c r="P26" s="15"/>
      <c r="Q26" s="12"/>
      <c r="R26" s="16"/>
      <c r="S26" s="15"/>
      <c r="T26" s="12"/>
      <c r="U26" s="16"/>
      <c r="V26" s="71" t="s">
        <v>84</v>
      </c>
      <c r="W26" s="67"/>
      <c r="X26" s="14">
        <f>AM17*1*1*C12</f>
        <v>7.0400000000000004E-2</v>
      </c>
      <c r="Y26" s="71" t="s">
        <v>84</v>
      </c>
      <c r="Z26" s="67"/>
      <c r="AA26" s="14">
        <f t="shared" si="6"/>
        <v>7.0400000000000004E-2</v>
      </c>
      <c r="AB26" s="45" t="s">
        <v>139</v>
      </c>
      <c r="AC26" s="40" t="s">
        <v>88</v>
      </c>
      <c r="AD26" s="52">
        <f t="shared" si="7"/>
        <v>13.649999999999999</v>
      </c>
    </row>
    <row r="27" spans="1:39" ht="18" x14ac:dyDescent="0.25">
      <c r="A27" s="71" t="s">
        <v>85</v>
      </c>
      <c r="B27" s="67"/>
      <c r="C27" s="14">
        <f>M6*1*1*C6</f>
        <v>0.54</v>
      </c>
      <c r="D27" s="71" t="s">
        <v>85</v>
      </c>
      <c r="E27" s="67"/>
      <c r="F27" s="14">
        <f>M6*1*1*C7</f>
        <v>0.44</v>
      </c>
      <c r="G27" s="15"/>
      <c r="H27" s="12"/>
      <c r="I27" s="16"/>
      <c r="J27" s="15"/>
      <c r="K27" s="12"/>
      <c r="L27" s="16"/>
      <c r="M27" s="72" t="s">
        <v>153</v>
      </c>
      <c r="N27" s="73"/>
      <c r="O27" s="74"/>
      <c r="P27" s="15"/>
      <c r="Q27" s="12"/>
      <c r="R27" s="16"/>
      <c r="S27" s="15"/>
      <c r="T27" s="12"/>
      <c r="U27" s="16"/>
      <c r="V27" s="71" t="s">
        <v>85</v>
      </c>
      <c r="W27" s="67"/>
      <c r="X27" s="14">
        <f>0</f>
        <v>0</v>
      </c>
      <c r="Y27" s="71" t="s">
        <v>124</v>
      </c>
      <c r="Z27" s="67"/>
      <c r="AA27" s="13">
        <f>AM10*1*1*C10</f>
        <v>0.64</v>
      </c>
      <c r="AB27" s="45" t="s">
        <v>138</v>
      </c>
      <c r="AC27" s="40" t="s">
        <v>88</v>
      </c>
      <c r="AD27" s="52">
        <f t="shared" si="7"/>
        <v>15.599999999999998</v>
      </c>
    </row>
    <row r="28" spans="1:39" ht="18" x14ac:dyDescent="0.25">
      <c r="A28" s="71" t="s">
        <v>86</v>
      </c>
      <c r="B28" s="67"/>
      <c r="C28" s="14">
        <f>M7*1*1*C5</f>
        <v>0.4</v>
      </c>
      <c r="D28" s="71" t="s">
        <v>86</v>
      </c>
      <c r="E28" s="67"/>
      <c r="F28" s="14">
        <f>M7*1*1*C5</f>
        <v>0.4</v>
      </c>
      <c r="G28" s="15"/>
      <c r="H28" s="12"/>
      <c r="I28" s="16"/>
      <c r="J28" s="15"/>
      <c r="K28" s="12"/>
      <c r="L28" s="16"/>
      <c r="M28" s="71" t="s">
        <v>92</v>
      </c>
      <c r="N28" s="67"/>
      <c r="O28" s="13">
        <f>Z11*Z12*C2</f>
        <v>4.5</v>
      </c>
      <c r="P28" s="15"/>
      <c r="Q28" s="12"/>
      <c r="R28" s="16"/>
      <c r="S28" s="15"/>
      <c r="T28" s="12"/>
      <c r="U28" s="16"/>
      <c r="V28" s="71" t="s">
        <v>86</v>
      </c>
      <c r="W28" s="67"/>
      <c r="X28" s="14">
        <f>0</f>
        <v>0</v>
      </c>
      <c r="Y28" s="71" t="s">
        <v>123</v>
      </c>
      <c r="Z28" s="67"/>
      <c r="AA28" s="13">
        <f>AM11*1*1*C10</f>
        <v>0.4</v>
      </c>
      <c r="AB28" s="45" t="s">
        <v>137</v>
      </c>
      <c r="AC28" s="51" t="s">
        <v>88</v>
      </c>
      <c r="AD28" s="52">
        <f t="shared" si="7"/>
        <v>17.399999999999999</v>
      </c>
    </row>
    <row r="29" spans="1:39" ht="18" x14ac:dyDescent="0.25">
      <c r="A29" s="71" t="s">
        <v>87</v>
      </c>
      <c r="B29" s="67"/>
      <c r="C29" s="14">
        <f>K34</f>
        <v>1.6</v>
      </c>
      <c r="D29" s="71" t="s">
        <v>87</v>
      </c>
      <c r="E29" s="67"/>
      <c r="F29" s="14">
        <f>0</f>
        <v>0</v>
      </c>
      <c r="G29" s="15"/>
      <c r="H29" s="12"/>
      <c r="I29" s="16"/>
      <c r="J29" s="15"/>
      <c r="K29" s="12"/>
      <c r="L29" s="16"/>
      <c r="M29" s="71" t="s">
        <v>93</v>
      </c>
      <c r="N29" s="67"/>
      <c r="O29" s="14">
        <f>Z11*(C23+C24+C25)*1</f>
        <v>0.94799999999999995</v>
      </c>
      <c r="P29" s="15"/>
      <c r="Q29" s="12"/>
      <c r="R29" s="16"/>
      <c r="S29" s="15"/>
      <c r="T29" s="12"/>
      <c r="U29" s="16"/>
      <c r="V29" s="71" t="s">
        <v>87</v>
      </c>
      <c r="W29" s="67"/>
      <c r="X29" s="14">
        <f>0</f>
        <v>0</v>
      </c>
      <c r="Y29" s="71" t="s">
        <v>125</v>
      </c>
      <c r="Z29" s="67"/>
      <c r="AA29" s="14">
        <f>AM15*AM14*1*C9</f>
        <v>1.9656</v>
      </c>
      <c r="AB29" s="47" t="s">
        <v>142</v>
      </c>
      <c r="AC29" s="40" t="s">
        <v>90</v>
      </c>
      <c r="AD29" s="48">
        <f>$N$4*AD23</f>
        <v>16.38</v>
      </c>
    </row>
    <row r="30" spans="1:39" ht="18" x14ac:dyDescent="0.25">
      <c r="A30" s="15"/>
      <c r="B30" s="12"/>
      <c r="C30" s="16"/>
      <c r="D30" s="15"/>
      <c r="E30" s="12"/>
      <c r="F30" s="16"/>
      <c r="G30" s="15"/>
      <c r="H30" s="12"/>
      <c r="I30" s="16"/>
      <c r="J30" s="15"/>
      <c r="K30" s="12"/>
      <c r="L30" s="16"/>
      <c r="M30" s="39" t="s">
        <v>88</v>
      </c>
      <c r="N30" s="54">
        <f>O28-O29</f>
        <v>3.552</v>
      </c>
      <c r="P30" s="15"/>
      <c r="Q30" s="12"/>
      <c r="R30" s="16"/>
      <c r="S30" s="15"/>
      <c r="T30" s="12"/>
      <c r="U30" s="16"/>
      <c r="V30" s="15"/>
      <c r="W30" s="12"/>
      <c r="X30" s="16"/>
      <c r="Y30" s="15"/>
      <c r="Z30" s="12"/>
      <c r="AA30" s="16"/>
      <c r="AB30" s="49" t="s">
        <v>141</v>
      </c>
      <c r="AC30" s="40" t="s">
        <v>90</v>
      </c>
      <c r="AD30" s="14">
        <f t="shared" ref="AD30:AD34" si="8">$N$4*AD24</f>
        <v>15.794999999999998</v>
      </c>
    </row>
    <row r="31" spans="1:39" ht="18.75" thickBot="1" x14ac:dyDescent="0.3">
      <c r="A31" s="17" t="s">
        <v>88</v>
      </c>
      <c r="B31" s="18">
        <f>SUM(C23:C29)</f>
        <v>6.1</v>
      </c>
      <c r="D31" s="25" t="s">
        <v>88</v>
      </c>
      <c r="E31" s="18">
        <f>SUM(F23:F29)</f>
        <v>3.92</v>
      </c>
      <c r="F31" s="33"/>
      <c r="G31" s="71" t="s">
        <v>72</v>
      </c>
      <c r="H31" s="67"/>
      <c r="I31" s="13">
        <f>(I23+I24)</f>
        <v>7.0400000000000009</v>
      </c>
      <c r="J31" s="71" t="s">
        <v>72</v>
      </c>
      <c r="K31" s="67"/>
      <c r="L31" s="14">
        <f>(L23+L24)</f>
        <v>3.3280000000000003</v>
      </c>
      <c r="M31" s="39" t="s">
        <v>90</v>
      </c>
      <c r="N31" s="54">
        <f>N30*N4</f>
        <v>4.6176000000000004</v>
      </c>
      <c r="P31" s="17" t="s">
        <v>88</v>
      </c>
      <c r="Q31" s="18">
        <f>R23-R24</f>
        <v>2.1059999999999999</v>
      </c>
      <c r="R31" s="16"/>
      <c r="S31" s="17" t="s">
        <v>88</v>
      </c>
      <c r="T31" s="12">
        <f>S23</f>
        <v>5.3</v>
      </c>
      <c r="U31" s="16"/>
      <c r="V31" s="17" t="s">
        <v>88</v>
      </c>
      <c r="W31" s="18">
        <f>SUM(X23:X29)</f>
        <v>3.2303999999999999</v>
      </c>
      <c r="X31" s="33"/>
      <c r="Y31" s="30" t="s">
        <v>88</v>
      </c>
      <c r="Z31" s="34">
        <f>SUM(AA23:AA29)</f>
        <v>6.2360000000000007</v>
      </c>
      <c r="AA31" s="16"/>
      <c r="AB31" s="49" t="s">
        <v>140</v>
      </c>
      <c r="AC31" s="40" t="s">
        <v>90</v>
      </c>
      <c r="AD31" s="14">
        <f t="shared" si="8"/>
        <v>18.427499999999998</v>
      </c>
    </row>
    <row r="32" spans="1:39" ht="18" x14ac:dyDescent="0.25">
      <c r="A32" s="17" t="s">
        <v>89</v>
      </c>
      <c r="B32" s="7">
        <f>U2</f>
        <v>2</v>
      </c>
      <c r="D32" s="25" t="s">
        <v>89</v>
      </c>
      <c r="E32" s="7">
        <f>U4</f>
        <v>4</v>
      </c>
      <c r="F32" s="33"/>
      <c r="G32" s="71" t="s">
        <v>73</v>
      </c>
      <c r="H32" s="67"/>
      <c r="I32" s="14">
        <f>I31*N4</f>
        <v>9.152000000000001</v>
      </c>
      <c r="J32" s="71" t="s">
        <v>73</v>
      </c>
      <c r="K32" s="67"/>
      <c r="L32" s="14">
        <f>L31*N4</f>
        <v>4.3264000000000005</v>
      </c>
      <c r="M32" s="72" t="s">
        <v>154</v>
      </c>
      <c r="N32" s="73"/>
      <c r="O32" s="74"/>
      <c r="P32" s="17" t="s">
        <v>90</v>
      </c>
      <c r="Q32" s="18">
        <f>Q31*N4</f>
        <v>2.7378</v>
      </c>
      <c r="R32" s="16"/>
      <c r="S32" s="17" t="s">
        <v>89</v>
      </c>
      <c r="T32" s="12">
        <f>U3</f>
        <v>4</v>
      </c>
      <c r="U32" s="16"/>
      <c r="V32" s="17" t="s">
        <v>89</v>
      </c>
      <c r="W32" s="28">
        <f>U5</f>
        <v>0.5</v>
      </c>
      <c r="X32" s="16"/>
      <c r="Y32" s="30" t="s">
        <v>89</v>
      </c>
      <c r="Z32" s="12">
        <f>U5</f>
        <v>0.5</v>
      </c>
      <c r="AA32" s="16"/>
      <c r="AB32" s="49" t="s">
        <v>139</v>
      </c>
      <c r="AC32" s="40" t="s">
        <v>90</v>
      </c>
      <c r="AD32" s="14">
        <f t="shared" si="8"/>
        <v>17.744999999999997</v>
      </c>
    </row>
    <row r="33" spans="1:30" ht="18" x14ac:dyDescent="0.25">
      <c r="A33" s="17" t="s">
        <v>90</v>
      </c>
      <c r="B33" s="18">
        <f>B31*N4</f>
        <v>7.93</v>
      </c>
      <c r="C33" s="16"/>
      <c r="D33" s="25" t="s">
        <v>90</v>
      </c>
      <c r="E33" s="18">
        <f>E31*N4</f>
        <v>5.0960000000000001</v>
      </c>
      <c r="F33" s="16"/>
      <c r="G33" s="15"/>
      <c r="H33" s="12"/>
      <c r="I33" s="16"/>
      <c r="J33" s="15"/>
      <c r="K33" s="12"/>
      <c r="L33" s="16"/>
      <c r="M33" s="71" t="s">
        <v>92</v>
      </c>
      <c r="N33" s="67"/>
      <c r="O33" s="13">
        <f>Z17*Z18*C2</f>
        <v>3.75</v>
      </c>
      <c r="P33" s="15"/>
      <c r="Q33" s="12"/>
      <c r="R33" s="16"/>
      <c r="S33" s="17" t="s">
        <v>90</v>
      </c>
      <c r="T33" s="12">
        <f>T31*N4</f>
        <v>6.89</v>
      </c>
      <c r="U33" s="16"/>
      <c r="V33" s="17" t="s">
        <v>90</v>
      </c>
      <c r="W33" s="18">
        <f>W31*N4</f>
        <v>4.1995199999999997</v>
      </c>
      <c r="X33" s="16"/>
      <c r="Y33" s="30" t="s">
        <v>90</v>
      </c>
      <c r="Z33" s="34">
        <f>Z31*N4</f>
        <v>8.1068000000000016</v>
      </c>
      <c r="AA33" s="16"/>
      <c r="AB33" s="49" t="s">
        <v>138</v>
      </c>
      <c r="AC33" s="40" t="s">
        <v>90</v>
      </c>
      <c r="AD33" s="14">
        <f t="shared" si="8"/>
        <v>20.279999999999998</v>
      </c>
    </row>
    <row r="34" spans="1:30" ht="18.75" thickBot="1" x14ac:dyDescent="0.3">
      <c r="A34" s="19" t="s">
        <v>91</v>
      </c>
      <c r="B34" s="20">
        <f>B32*Q4</f>
        <v>3</v>
      </c>
      <c r="C34" s="21"/>
      <c r="D34" s="19" t="s">
        <v>91</v>
      </c>
      <c r="E34" s="20">
        <f>E32*Q4</f>
        <v>6</v>
      </c>
      <c r="F34" s="21"/>
      <c r="G34" s="19"/>
      <c r="H34" s="22"/>
      <c r="I34" s="21"/>
      <c r="J34" s="19"/>
      <c r="K34" s="20">
        <v>1.6</v>
      </c>
      <c r="L34" s="21"/>
      <c r="M34" s="71" t="s">
        <v>93</v>
      </c>
      <c r="N34" s="67"/>
      <c r="O34" s="14">
        <f>Z17*(X23+X24+X25)*1</f>
        <v>0.94799999999999995</v>
      </c>
      <c r="P34" s="19"/>
      <c r="Q34" s="22"/>
      <c r="R34" s="21"/>
      <c r="S34" s="19" t="s">
        <v>91</v>
      </c>
      <c r="T34" s="22">
        <f>T32*Q4</f>
        <v>6</v>
      </c>
      <c r="U34" s="21"/>
      <c r="V34" s="19" t="s">
        <v>91</v>
      </c>
      <c r="W34" s="20">
        <f>W32*Q4</f>
        <v>0.75</v>
      </c>
      <c r="X34" s="21"/>
      <c r="Y34" s="19" t="s">
        <v>91</v>
      </c>
      <c r="Z34" s="22">
        <f>Z32*Q4</f>
        <v>0.75</v>
      </c>
      <c r="AA34" s="21"/>
      <c r="AB34" s="50" t="s">
        <v>137</v>
      </c>
      <c r="AC34" s="20" t="s">
        <v>90</v>
      </c>
      <c r="AD34" s="53">
        <f t="shared" si="8"/>
        <v>22.619999999999997</v>
      </c>
    </row>
    <row r="35" spans="1:30" ht="18" x14ac:dyDescent="0.25">
      <c r="M35" s="39" t="s">
        <v>88</v>
      </c>
      <c r="N35" s="18">
        <f>O33-O34</f>
        <v>2.802</v>
      </c>
      <c r="O35" s="16"/>
    </row>
    <row r="36" spans="1:30" ht="18.75" thickBot="1" x14ac:dyDescent="0.3">
      <c r="M36" s="19" t="s">
        <v>90</v>
      </c>
      <c r="N36" s="55">
        <f>N35*N4</f>
        <v>3.6426000000000003</v>
      </c>
      <c r="O36" s="21"/>
    </row>
    <row r="37" spans="1:30" ht="15.75" thickBot="1" x14ac:dyDescent="0.3">
      <c r="B37" s="26" t="s">
        <v>76</v>
      </c>
      <c r="C37" s="93" t="s">
        <v>68</v>
      </c>
      <c r="D37" s="93"/>
      <c r="E37" s="93" t="s">
        <v>69</v>
      </c>
      <c r="F37" s="93"/>
    </row>
    <row r="38" spans="1:30" ht="16.5" thickTop="1" thickBot="1" x14ac:dyDescent="0.3">
      <c r="B38" s="23" t="s">
        <v>155</v>
      </c>
      <c r="C38" s="62">
        <f>B33+B34</f>
        <v>10.93</v>
      </c>
      <c r="D38" s="63"/>
      <c r="E38" s="62">
        <f>B31+B32*V3</f>
        <v>6.6999999999999993</v>
      </c>
      <c r="F38" s="62"/>
    </row>
    <row r="39" spans="1:30" ht="16.5" thickTop="1" thickBot="1" x14ac:dyDescent="0.3">
      <c r="B39" s="23" t="s">
        <v>77</v>
      </c>
      <c r="C39" s="62">
        <f>E33+E34</f>
        <v>11.096</v>
      </c>
      <c r="D39" s="63"/>
      <c r="E39" s="62">
        <f>E31+E32*V3</f>
        <v>5.12</v>
      </c>
      <c r="F39" s="62"/>
      <c r="H39" s="1"/>
    </row>
    <row r="40" spans="1:30" ht="16.5" thickTop="1" thickBot="1" x14ac:dyDescent="0.3">
      <c r="B40" s="23" t="s">
        <v>78</v>
      </c>
      <c r="C40" s="63">
        <f>T33+T34</f>
        <v>12.89</v>
      </c>
      <c r="D40" s="63"/>
      <c r="E40" s="63">
        <f>T31+T32*V3</f>
        <v>6.5</v>
      </c>
      <c r="F40" s="63"/>
      <c r="G40" s="70"/>
      <c r="H40" s="70"/>
      <c r="L40" s="1"/>
    </row>
    <row r="41" spans="1:30" ht="16.5" thickTop="1" thickBot="1" x14ac:dyDescent="0.3">
      <c r="B41" s="23" t="s">
        <v>156</v>
      </c>
      <c r="C41" s="62">
        <f>N26</f>
        <v>5.5926000000000018</v>
      </c>
      <c r="D41" s="63"/>
      <c r="E41" s="62">
        <f>N25</f>
        <v>4.3020000000000014</v>
      </c>
      <c r="F41" s="63"/>
      <c r="G41" s="70"/>
      <c r="H41" s="70"/>
      <c r="J41" s="2"/>
      <c r="K41" s="2"/>
      <c r="L41" s="1"/>
      <c r="O41" s="1"/>
    </row>
    <row r="42" spans="1:30" ht="16.5" thickTop="1" thickBot="1" x14ac:dyDescent="0.3">
      <c r="B42" s="41" t="s">
        <v>157</v>
      </c>
      <c r="C42" s="62">
        <f>N31</f>
        <v>4.6176000000000004</v>
      </c>
      <c r="D42" s="63"/>
      <c r="E42" s="62">
        <f>N30</f>
        <v>3.552</v>
      </c>
      <c r="F42" s="63"/>
      <c r="G42" s="70"/>
      <c r="H42" s="70"/>
      <c r="O42" s="1"/>
    </row>
    <row r="43" spans="1:30" ht="16.5" thickTop="1" thickBot="1" x14ac:dyDescent="0.3">
      <c r="B43" s="41" t="s">
        <v>158</v>
      </c>
      <c r="C43" s="62">
        <f>N36</f>
        <v>3.6426000000000003</v>
      </c>
      <c r="D43" s="63"/>
      <c r="E43" s="62">
        <f>N35</f>
        <v>2.802</v>
      </c>
      <c r="F43" s="63"/>
      <c r="O43" s="1"/>
    </row>
    <row r="44" spans="1:30" ht="16.5" thickTop="1" thickBot="1" x14ac:dyDescent="0.3">
      <c r="B44" s="23" t="s">
        <v>159</v>
      </c>
      <c r="C44" s="62">
        <f>Q32</f>
        <v>2.7378</v>
      </c>
      <c r="D44" s="63"/>
      <c r="E44" s="62">
        <f>Q31</f>
        <v>2.1059999999999999</v>
      </c>
      <c r="F44" s="63"/>
      <c r="G44" s="70"/>
      <c r="H44" s="70"/>
      <c r="O44" s="1"/>
    </row>
    <row r="45" spans="1:30" ht="16.5" thickTop="1" thickBot="1" x14ac:dyDescent="0.3">
      <c r="B45" s="41" t="s">
        <v>160</v>
      </c>
      <c r="C45" s="62">
        <f t="shared" ref="C45:C50" si="9">AD29</f>
        <v>16.38</v>
      </c>
      <c r="D45" s="63"/>
      <c r="E45" s="62">
        <f t="shared" ref="E45:E50" si="10">AD23</f>
        <v>12.6</v>
      </c>
      <c r="F45" s="63"/>
    </row>
    <row r="46" spans="1:30" ht="16.5" thickTop="1" thickBot="1" x14ac:dyDescent="0.3">
      <c r="B46" s="41" t="s">
        <v>161</v>
      </c>
      <c r="C46" s="62">
        <f t="shared" si="9"/>
        <v>15.794999999999998</v>
      </c>
      <c r="D46" s="63"/>
      <c r="E46" s="62">
        <f t="shared" si="10"/>
        <v>12.149999999999999</v>
      </c>
      <c r="F46" s="63"/>
    </row>
    <row r="47" spans="1:30" ht="16.5" thickTop="1" thickBot="1" x14ac:dyDescent="0.3">
      <c r="B47" s="41" t="s">
        <v>162</v>
      </c>
      <c r="C47" s="62">
        <f t="shared" si="9"/>
        <v>18.427499999999998</v>
      </c>
      <c r="D47" s="63"/>
      <c r="E47" s="62">
        <f t="shared" si="10"/>
        <v>14.174999999999999</v>
      </c>
      <c r="F47" s="63"/>
    </row>
    <row r="48" spans="1:30" ht="16.5" thickTop="1" thickBot="1" x14ac:dyDescent="0.3">
      <c r="B48" s="41" t="s">
        <v>163</v>
      </c>
      <c r="C48" s="62">
        <f t="shared" si="9"/>
        <v>17.744999999999997</v>
      </c>
      <c r="D48" s="63"/>
      <c r="E48" s="62">
        <f t="shared" si="10"/>
        <v>13.649999999999999</v>
      </c>
      <c r="F48" s="63"/>
    </row>
    <row r="49" spans="2:6" ht="16.5" thickTop="1" thickBot="1" x14ac:dyDescent="0.3">
      <c r="B49" s="41" t="s">
        <v>164</v>
      </c>
      <c r="C49" s="62">
        <f t="shared" si="9"/>
        <v>20.279999999999998</v>
      </c>
      <c r="D49" s="63"/>
      <c r="E49" s="62">
        <f t="shared" si="10"/>
        <v>15.599999999999998</v>
      </c>
      <c r="F49" s="63"/>
    </row>
    <row r="50" spans="2:6" ht="16.5" thickTop="1" thickBot="1" x14ac:dyDescent="0.3">
      <c r="B50" s="41" t="s">
        <v>165</v>
      </c>
      <c r="C50" s="62">
        <f t="shared" si="9"/>
        <v>22.619999999999997</v>
      </c>
      <c r="D50" s="63"/>
      <c r="E50" s="62">
        <f t="shared" si="10"/>
        <v>17.399999999999999</v>
      </c>
      <c r="F50" s="63"/>
    </row>
    <row r="51" spans="2:6" ht="16.5" thickTop="1" thickBot="1" x14ac:dyDescent="0.3">
      <c r="B51" s="23" t="s">
        <v>74</v>
      </c>
      <c r="C51" s="62">
        <f>I32</f>
        <v>9.152000000000001</v>
      </c>
      <c r="D51" s="63"/>
      <c r="E51" s="63">
        <f>I31</f>
        <v>7.0400000000000009</v>
      </c>
      <c r="F51" s="63"/>
    </row>
    <row r="52" spans="2:6" ht="16.5" thickTop="1" thickBot="1" x14ac:dyDescent="0.3">
      <c r="B52" s="23" t="s">
        <v>75</v>
      </c>
      <c r="C52" s="62">
        <f>L32</f>
        <v>4.3264000000000005</v>
      </c>
      <c r="D52" s="63"/>
      <c r="E52" s="62">
        <f>L31</f>
        <v>3.3280000000000003</v>
      </c>
      <c r="F52" s="63"/>
    </row>
    <row r="53" spans="2:6" ht="16.5" thickTop="1" thickBot="1" x14ac:dyDescent="0.3">
      <c r="B53" s="26" t="s">
        <v>79</v>
      </c>
      <c r="C53" s="62">
        <f>W33+W34</f>
        <v>4.9495199999999997</v>
      </c>
      <c r="D53" s="63"/>
      <c r="E53" s="62">
        <f>W31+(V3*W32)</f>
        <v>3.3803999999999998</v>
      </c>
      <c r="F53" s="63"/>
    </row>
    <row r="54" spans="2:6" ht="16.5" thickTop="1" thickBot="1" x14ac:dyDescent="0.3">
      <c r="B54" s="26" t="s">
        <v>80</v>
      </c>
      <c r="C54" s="62">
        <f>Z33+Z34</f>
        <v>8.8568000000000016</v>
      </c>
      <c r="D54" s="63"/>
      <c r="E54" s="62">
        <f>Z31+V3</f>
        <v>6.5360000000000005</v>
      </c>
      <c r="F54" s="63"/>
    </row>
    <row r="55" spans="2:6" ht="15.75" thickTop="1" x14ac:dyDescent="0.25"/>
  </sheetData>
  <mergeCells count="153">
    <mergeCell ref="E48:F48"/>
    <mergeCell ref="C49:D49"/>
    <mergeCell ref="E49:F49"/>
    <mergeCell ref="C50:D50"/>
    <mergeCell ref="E50:F50"/>
    <mergeCell ref="Y7:AA8"/>
    <mergeCell ref="Y13:AA14"/>
    <mergeCell ref="AE1:AI2"/>
    <mergeCell ref="S11:W11"/>
    <mergeCell ref="AB22:AD22"/>
    <mergeCell ref="A21:AD21"/>
    <mergeCell ref="Y23:Z23"/>
    <mergeCell ref="Y24:Z24"/>
    <mergeCell ref="Y25:Z25"/>
    <mergeCell ref="A4:B4"/>
    <mergeCell ref="A9:B9"/>
    <mergeCell ref="A10:B10"/>
    <mergeCell ref="V22:X22"/>
    <mergeCell ref="M22:O22"/>
    <mergeCell ref="P22:R22"/>
    <mergeCell ref="H4:I4"/>
    <mergeCell ref="Y26:Z26"/>
    <mergeCell ref="Y27:Z27"/>
    <mergeCell ref="Y28:Z28"/>
    <mergeCell ref="Y29:Z29"/>
    <mergeCell ref="A11:B11"/>
    <mergeCell ref="A12:B12"/>
    <mergeCell ref="V23:W23"/>
    <mergeCell ref="V24:W24"/>
    <mergeCell ref="V25:W25"/>
    <mergeCell ref="V26:W26"/>
    <mergeCell ref="V27:W27"/>
    <mergeCell ref="V28:W28"/>
    <mergeCell ref="Y22:AA22"/>
    <mergeCell ref="A27:B27"/>
    <mergeCell ref="A23:B23"/>
    <mergeCell ref="A24:B24"/>
    <mergeCell ref="A25:B25"/>
    <mergeCell ref="A26:B26"/>
    <mergeCell ref="J23:K23"/>
    <mergeCell ref="M24:N24"/>
    <mergeCell ref="P23:Q23"/>
    <mergeCell ref="P24:Q24"/>
    <mergeCell ref="S22:U22"/>
    <mergeCell ref="S23:T23"/>
    <mergeCell ref="K18:K19"/>
    <mergeCell ref="AJ1:AK2"/>
    <mergeCell ref="AL1:AM2"/>
    <mergeCell ref="E41:F41"/>
    <mergeCell ref="E44:F44"/>
    <mergeCell ref="E51:F51"/>
    <mergeCell ref="E52:F52"/>
    <mergeCell ref="C38:D38"/>
    <mergeCell ref="C39:D39"/>
    <mergeCell ref="C40:D40"/>
    <mergeCell ref="C41:D41"/>
    <mergeCell ref="C44:D44"/>
    <mergeCell ref="Q4:S4"/>
    <mergeCell ref="K5:L5"/>
    <mergeCell ref="K6:L6"/>
    <mergeCell ref="K7:L7"/>
    <mergeCell ref="A22:C22"/>
    <mergeCell ref="D22:F22"/>
    <mergeCell ref="D23:E23"/>
    <mergeCell ref="D24:E24"/>
    <mergeCell ref="D25:E25"/>
    <mergeCell ref="D26:E26"/>
    <mergeCell ref="D27:E27"/>
    <mergeCell ref="M23:N23"/>
    <mergeCell ref="J22:L22"/>
    <mergeCell ref="G44:H44"/>
    <mergeCell ref="H6:I6"/>
    <mergeCell ref="H7:I7"/>
    <mergeCell ref="H8:I8"/>
    <mergeCell ref="G31:H31"/>
    <mergeCell ref="G32:H32"/>
    <mergeCell ref="C51:D51"/>
    <mergeCell ref="C52:D52"/>
    <mergeCell ref="E38:F38"/>
    <mergeCell ref="E39:F39"/>
    <mergeCell ref="D10:E10"/>
    <mergeCell ref="F10:G10"/>
    <mergeCell ref="C42:D42"/>
    <mergeCell ref="E42:F42"/>
    <mergeCell ref="C43:D43"/>
    <mergeCell ref="E43:F43"/>
    <mergeCell ref="C45:D45"/>
    <mergeCell ref="E45:F45"/>
    <mergeCell ref="E37:F37"/>
    <mergeCell ref="C46:D46"/>
    <mergeCell ref="E46:F46"/>
    <mergeCell ref="C47:D47"/>
    <mergeCell ref="E47:F47"/>
    <mergeCell ref="C48:D48"/>
    <mergeCell ref="J31:K31"/>
    <mergeCell ref="J32:K32"/>
    <mergeCell ref="D29:E29"/>
    <mergeCell ref="J24:K24"/>
    <mergeCell ref="G24:H24"/>
    <mergeCell ref="V29:W29"/>
    <mergeCell ref="M27:O27"/>
    <mergeCell ref="M28:N28"/>
    <mergeCell ref="M29:N29"/>
    <mergeCell ref="M32:O32"/>
    <mergeCell ref="D28:E28"/>
    <mergeCell ref="M33:N33"/>
    <mergeCell ref="M34:N34"/>
    <mergeCell ref="C53:D53"/>
    <mergeCell ref="W1:X2"/>
    <mergeCell ref="Y1:AA2"/>
    <mergeCell ref="AB1:AD2"/>
    <mergeCell ref="T1:U1"/>
    <mergeCell ref="N2:P3"/>
    <mergeCell ref="N1:S1"/>
    <mergeCell ref="Q2:S3"/>
    <mergeCell ref="C37:D37"/>
    <mergeCell ref="G41:H41"/>
    <mergeCell ref="G40:H40"/>
    <mergeCell ref="V1:V2"/>
    <mergeCell ref="N4:P4"/>
    <mergeCell ref="H5:I5"/>
    <mergeCell ref="K1:M1"/>
    <mergeCell ref="K4:L4"/>
    <mergeCell ref="K3:L3"/>
    <mergeCell ref="K2:L2"/>
    <mergeCell ref="D1:E1"/>
    <mergeCell ref="F1:G1"/>
    <mergeCell ref="H2:I2"/>
    <mergeCell ref="H3:I3"/>
    <mergeCell ref="E53:F53"/>
    <mergeCell ref="C54:D54"/>
    <mergeCell ref="E54:F54"/>
    <mergeCell ref="H1:J1"/>
    <mergeCell ref="A5:B5"/>
    <mergeCell ref="A6:B6"/>
    <mergeCell ref="A7:B7"/>
    <mergeCell ref="A19:B19"/>
    <mergeCell ref="A1:C1"/>
    <mergeCell ref="A13:B13"/>
    <mergeCell ref="A14:B14"/>
    <mergeCell ref="A15:B15"/>
    <mergeCell ref="A16:B16"/>
    <mergeCell ref="A17:B17"/>
    <mergeCell ref="A18:B18"/>
    <mergeCell ref="A2:B2"/>
    <mergeCell ref="A3:B3"/>
    <mergeCell ref="A8:B8"/>
    <mergeCell ref="G42:H42"/>
    <mergeCell ref="A28:B28"/>
    <mergeCell ref="A29:B29"/>
    <mergeCell ref="G22:I22"/>
    <mergeCell ref="G23:H23"/>
    <mergeCell ref="E40:F40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Normativa e Dimensioni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Utente</cp:lastModifiedBy>
  <dcterms:created xsi:type="dcterms:W3CDTF">2016-11-09T08:55:36Z</dcterms:created>
  <dcterms:modified xsi:type="dcterms:W3CDTF">2017-02-08T10:42:36Z</dcterms:modified>
</cp:coreProperties>
</file>